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30" windowWidth="15480" windowHeight="11580" firstSheet="1" activeTab="1"/>
  </bookViews>
  <sheets>
    <sheet name="Базовые" sheetId="16" state="hidden" r:id="rId1"/>
    <sheet name="Текущие" sheetId="15" r:id="rId2"/>
    <sheet name="Расчет с 30% снижением" sheetId="1" state="hidden" r:id="rId3"/>
    <sheet name="НМЦ лота" sheetId="2" state="hidden" r:id="rId4"/>
  </sheets>
  <definedNames>
    <definedName name="_xlnm.Print_Area" localSheetId="0">Базовые!$A$1:$H$71</definedName>
    <definedName name="_xlnm.Print_Area" localSheetId="2">'Расчет с 30% снижением'!$A$1:$R$52,'Расчет с 30% снижением'!$T$34:$AR$43</definedName>
    <definedName name="_xlnm.Print_Area" localSheetId="1">Текущие!$A:$H</definedName>
  </definedNames>
  <calcPr calcId="145621"/>
</workbook>
</file>

<file path=xl/calcChain.xml><?xml version="1.0" encoding="utf-8"?>
<calcChain xmlns="http://schemas.openxmlformats.org/spreadsheetml/2006/main">
  <c r="L39" i="1" l="1"/>
  <c r="L31" i="1"/>
  <c r="G39" i="1"/>
  <c r="G31" i="1"/>
  <c r="L35" i="1"/>
  <c r="J16" i="1" l="1"/>
  <c r="I16" i="1"/>
  <c r="G35" i="1"/>
  <c r="E16" i="1"/>
  <c r="D16" i="1"/>
  <c r="H62" i="16"/>
  <c r="G62" i="16"/>
  <c r="H60" i="16"/>
  <c r="G60" i="16"/>
  <c r="H59" i="16"/>
  <c r="G59" i="16"/>
  <c r="H57" i="16"/>
  <c r="G57" i="16"/>
  <c r="H62" i="15"/>
  <c r="H60" i="15"/>
  <c r="G62" i="15"/>
  <c r="G60" i="15"/>
  <c r="H59" i="15"/>
  <c r="G59" i="15"/>
  <c r="H57" i="15"/>
  <c r="M26" i="1" l="1"/>
  <c r="H26" i="1"/>
  <c r="Q26" i="1" l="1"/>
  <c r="R26" i="1" s="1"/>
  <c r="O16" i="1"/>
  <c r="N16" i="1"/>
  <c r="H16" i="2"/>
  <c r="H17" i="2"/>
  <c r="H18" i="2"/>
  <c r="H19" i="2"/>
  <c r="H20" i="2"/>
  <c r="H21" i="2"/>
  <c r="G13" i="2" l="1"/>
  <c r="H13" i="1"/>
  <c r="G14" i="1"/>
  <c r="F2" i="2"/>
  <c r="M13" i="1" l="1"/>
  <c r="M14" i="1" s="1"/>
  <c r="H14" i="1"/>
  <c r="L14" i="1"/>
  <c r="Q13" i="1"/>
  <c r="Q14" i="1" s="1"/>
  <c r="R14" i="1" s="1"/>
  <c r="Q35" i="1"/>
  <c r="R13" i="1" l="1"/>
  <c r="P16" i="1" l="1"/>
  <c r="L36" i="1" l="1"/>
  <c r="G36" i="1" l="1"/>
  <c r="I17" i="1" l="1"/>
  <c r="D17" i="1"/>
  <c r="E17" i="1"/>
  <c r="F17" i="1"/>
  <c r="N17" i="1" l="1"/>
  <c r="E15" i="2"/>
  <c r="Q36" i="1"/>
  <c r="L16" i="1"/>
  <c r="E23" i="2" l="1"/>
  <c r="E26" i="2" s="1"/>
  <c r="E27" i="2" s="1"/>
  <c r="E28" i="2" s="1"/>
  <c r="L17" i="1"/>
  <c r="K17" i="1"/>
  <c r="J17" i="1"/>
  <c r="F15" i="2"/>
  <c r="Q16" i="1"/>
  <c r="F27" i="2" l="1"/>
  <c r="F28" i="2" s="1"/>
  <c r="M17" i="1"/>
  <c r="G27" i="2"/>
  <c r="G28" i="2" s="1"/>
  <c r="O17" i="1"/>
  <c r="Q17" i="1"/>
  <c r="Q18" i="1" s="1"/>
  <c r="P17" i="1"/>
  <c r="D15" i="2"/>
  <c r="H13" i="2"/>
  <c r="D23" i="2" l="1"/>
  <c r="D26" i="2" s="1"/>
  <c r="H15" i="2"/>
  <c r="H23" i="2" l="1"/>
  <c r="D27" i="2"/>
  <c r="D28" i="2" s="1"/>
  <c r="G29" i="2"/>
  <c r="G33" i="2" l="1"/>
  <c r="G34" i="2" s="1"/>
  <c r="H28" i="2"/>
  <c r="H26" i="2"/>
  <c r="D29" i="2" l="1"/>
  <c r="D32" i="2" s="1"/>
  <c r="E29" i="2"/>
  <c r="E32" i="2" s="1"/>
  <c r="D33" i="2" l="1"/>
  <c r="D34" i="2" s="1"/>
  <c r="E33" i="2"/>
  <c r="E34" i="2" s="1"/>
  <c r="AP43" i="1"/>
  <c r="P27" i="1" l="1"/>
  <c r="H16" i="1" l="1"/>
  <c r="R16" i="1" l="1"/>
  <c r="N36" i="1" l="1"/>
  <c r="Q22" i="1"/>
  <c r="R17" i="1"/>
  <c r="M16" i="1" l="1"/>
  <c r="G17" i="1"/>
  <c r="G18" i="1" l="1"/>
  <c r="G22" i="1"/>
  <c r="F18" i="1"/>
  <c r="F21" i="1" s="1"/>
  <c r="F22" i="1" s="1"/>
  <c r="M35" i="1" l="1"/>
  <c r="Z43" i="1" s="1"/>
  <c r="H35" i="1"/>
  <c r="H17" i="1" l="1"/>
  <c r="E18" i="1" l="1"/>
  <c r="E20" i="1" s="1"/>
  <c r="D18" i="1"/>
  <c r="D20" i="1" s="1"/>
  <c r="H20" i="1" l="1"/>
  <c r="D21" i="1"/>
  <c r="D22" i="1" l="1"/>
  <c r="P36" i="1"/>
  <c r="O36" i="1"/>
  <c r="P32" i="1"/>
  <c r="O32" i="1"/>
  <c r="N32" i="1"/>
  <c r="P21" i="1"/>
  <c r="D24" i="1" l="1"/>
  <c r="R36" i="1"/>
  <c r="AE43" i="1" s="1"/>
  <c r="AJ43" i="1" s="1"/>
  <c r="R35" i="1"/>
  <c r="V34" i="1" s="1"/>
  <c r="K36" i="1" l="1"/>
  <c r="J36" i="1"/>
  <c r="I36" i="1"/>
  <c r="F36" i="1"/>
  <c r="E36" i="1"/>
  <c r="D36" i="1"/>
  <c r="K32" i="1"/>
  <c r="J32" i="1"/>
  <c r="I32" i="1"/>
  <c r="F32" i="1"/>
  <c r="E32" i="1"/>
  <c r="D32" i="1"/>
  <c r="K27" i="1"/>
  <c r="F27" i="1"/>
  <c r="L21" i="1"/>
  <c r="L22" i="1" s="1"/>
  <c r="K21" i="1"/>
  <c r="L18" i="1"/>
  <c r="H18" i="1"/>
  <c r="P22" i="1" l="1"/>
  <c r="P28" i="1" s="1"/>
  <c r="P33" i="1" s="1"/>
  <c r="P18" i="1"/>
  <c r="J18" i="1"/>
  <c r="J20" i="1" s="1"/>
  <c r="E21" i="1"/>
  <c r="H21" i="1" s="1"/>
  <c r="K18" i="1"/>
  <c r="I18" i="1"/>
  <c r="I20" i="1" s="1"/>
  <c r="K22" i="1"/>
  <c r="K28" i="1" s="1"/>
  <c r="K33" i="1" s="1"/>
  <c r="K37" i="1" s="1"/>
  <c r="K39" i="1" s="1"/>
  <c r="F28" i="1"/>
  <c r="F33" i="1" s="1"/>
  <c r="F37" i="1" s="1"/>
  <c r="F39" i="1" s="1"/>
  <c r="I21" i="1" l="1"/>
  <c r="I22" i="1" s="1"/>
  <c r="J21" i="1"/>
  <c r="P37" i="1"/>
  <c r="P39" i="1" s="1"/>
  <c r="M18" i="1"/>
  <c r="O18" i="1"/>
  <c r="O20" i="1" s="1"/>
  <c r="E22" i="1"/>
  <c r="K40" i="1"/>
  <c r="K43" i="1" s="1"/>
  <c r="AA43" i="1" s="1"/>
  <c r="F40" i="1"/>
  <c r="F43" i="1" s="1"/>
  <c r="V43" i="1" l="1"/>
  <c r="F44" i="1"/>
  <c r="F45" i="1" s="1"/>
  <c r="E24" i="1"/>
  <c r="E27" i="1" s="1"/>
  <c r="E28" i="1" s="1"/>
  <c r="I24" i="1"/>
  <c r="O21" i="1"/>
  <c r="O22" i="1" s="1"/>
  <c r="J22" i="1"/>
  <c r="J24" i="1" s="1"/>
  <c r="M21" i="1"/>
  <c r="M20" i="1"/>
  <c r="P40" i="1"/>
  <c r="P41" i="1" s="1"/>
  <c r="N18" i="1"/>
  <c r="N20" i="1" s="1"/>
  <c r="K44" i="1"/>
  <c r="K45" i="1" s="1"/>
  <c r="O24" i="1" l="1"/>
  <c r="M24" i="1"/>
  <c r="L25" i="1" s="1"/>
  <c r="L27" i="1" s="1"/>
  <c r="M22" i="1"/>
  <c r="J27" i="1"/>
  <c r="J28" i="1" s="1"/>
  <c r="I27" i="1"/>
  <c r="I28" i="1" s="1"/>
  <c r="R18" i="1"/>
  <c r="R20" i="1"/>
  <c r="E33" i="1"/>
  <c r="E37" i="1" s="1"/>
  <c r="E39" i="1" s="1"/>
  <c r="H22" i="1"/>
  <c r="O27" i="1" l="1"/>
  <c r="O28" i="1" s="1"/>
  <c r="O33" i="1" s="1"/>
  <c r="O37" i="1" s="1"/>
  <c r="O39" i="1" s="1"/>
  <c r="AF43" i="1"/>
  <c r="N21" i="1"/>
  <c r="R21" i="1" s="1"/>
  <c r="AK43" i="1"/>
  <c r="P43" i="1"/>
  <c r="P44" i="1" s="1"/>
  <c r="E40" i="1"/>
  <c r="E43" i="1" s="1"/>
  <c r="I33" i="1"/>
  <c r="I37" i="1" s="1"/>
  <c r="I39" i="1" s="1"/>
  <c r="J33" i="1"/>
  <c r="J37" i="1" s="1"/>
  <c r="J39" i="1" s="1"/>
  <c r="H24" i="1"/>
  <c r="G25" i="1" s="1"/>
  <c r="G27" i="1" s="1"/>
  <c r="D27" i="1"/>
  <c r="D28" i="1" s="1"/>
  <c r="E44" i="1" l="1"/>
  <c r="E45" i="1" s="1"/>
  <c r="P45" i="1"/>
  <c r="O40" i="1"/>
  <c r="O41" i="1" s="1"/>
  <c r="O43" i="1" s="1"/>
  <c r="O44" i="1" s="1"/>
  <c r="M25" i="1"/>
  <c r="M27" i="1"/>
  <c r="N22" i="1"/>
  <c r="J40" i="1"/>
  <c r="J43" i="1" s="1"/>
  <c r="J44" i="1" l="1"/>
  <c r="J45" i="1" s="1"/>
  <c r="N24" i="1"/>
  <c r="O45" i="1"/>
  <c r="L28" i="1"/>
  <c r="M28" i="1" s="1"/>
  <c r="R22" i="1"/>
  <c r="D33" i="1"/>
  <c r="D37" i="1" s="1"/>
  <c r="D39" i="1" s="1"/>
  <c r="M36" i="1"/>
  <c r="M31" i="1" l="1"/>
  <c r="L30" i="1"/>
  <c r="H25" i="1"/>
  <c r="N27" i="1"/>
  <c r="N28" i="1" s="1"/>
  <c r="R24" i="1"/>
  <c r="Q25" i="1" s="1"/>
  <c r="I40" i="1"/>
  <c r="L32" i="1" l="1"/>
  <c r="L33" i="1" s="1"/>
  <c r="M30" i="1"/>
  <c r="G28" i="1"/>
  <c r="H28" i="1" s="1"/>
  <c r="H27" i="1"/>
  <c r="M32" i="1"/>
  <c r="N33" i="1"/>
  <c r="N37" i="1" s="1"/>
  <c r="N39" i="1" s="1"/>
  <c r="I43" i="1"/>
  <c r="D40" i="1"/>
  <c r="H36" i="1"/>
  <c r="U43" i="1" s="1"/>
  <c r="G30" i="1" l="1"/>
  <c r="H31" i="1"/>
  <c r="AB43" i="1"/>
  <c r="I44" i="1"/>
  <c r="L37" i="1"/>
  <c r="M33" i="1"/>
  <c r="D43" i="1"/>
  <c r="M37" i="1" l="1"/>
  <c r="M39" i="1"/>
  <c r="W43" i="1"/>
  <c r="D44" i="1"/>
  <c r="D45" i="1" s="1"/>
  <c r="H30" i="1"/>
  <c r="G32" i="1"/>
  <c r="G33" i="1" s="1"/>
  <c r="G37" i="1" s="1"/>
  <c r="I45" i="1"/>
  <c r="N40" i="1"/>
  <c r="N41" i="1" s="1"/>
  <c r="N43" i="1" s="1"/>
  <c r="N44" i="1" s="1"/>
  <c r="L40" i="1" l="1"/>
  <c r="L43" i="1" s="1"/>
  <c r="L44" i="1" s="1"/>
  <c r="H33" i="1"/>
  <c r="H32" i="1"/>
  <c r="R25" i="1"/>
  <c r="Q27" i="1"/>
  <c r="Q28" i="1" s="1"/>
  <c r="R28" i="1" s="1"/>
  <c r="Q31" i="1" s="1"/>
  <c r="H39" i="1"/>
  <c r="H37" i="1"/>
  <c r="M40" i="1" l="1"/>
  <c r="Q30" i="1"/>
  <c r="R30" i="1" s="1"/>
  <c r="W38" i="1" s="1"/>
  <c r="R31" i="1"/>
  <c r="R27" i="1"/>
  <c r="AG43" i="1"/>
  <c r="M44" i="1"/>
  <c r="M43" i="1"/>
  <c r="Y43" i="1" s="1"/>
  <c r="G40" i="1"/>
  <c r="Q32" i="1" l="1"/>
  <c r="Q33" i="1" s="1"/>
  <c r="AL43" i="1"/>
  <c r="G43" i="1"/>
  <c r="G44" i="1" s="1"/>
  <c r="H40" i="1"/>
  <c r="L45" i="1"/>
  <c r="M45" i="1" s="1"/>
  <c r="R32" i="1" l="1"/>
  <c r="Q37" i="1"/>
  <c r="Q39" i="1" s="1"/>
  <c r="R33" i="1"/>
  <c r="N45" i="1"/>
  <c r="H44" i="1"/>
  <c r="H43" i="1"/>
  <c r="R39" i="1" l="1"/>
  <c r="R37" i="1"/>
  <c r="N49" i="1"/>
  <c r="T43" i="1"/>
  <c r="X43" i="1" s="1"/>
  <c r="AC43" i="1"/>
  <c r="G45" i="1"/>
  <c r="H45" i="1" s="1"/>
  <c r="Q40" i="1" l="1"/>
  <c r="Q41" i="1" s="1"/>
  <c r="Q43" i="1" s="1"/>
  <c r="R43" i="1" l="1"/>
  <c r="Q44" i="1"/>
  <c r="R40" i="1"/>
  <c r="H27" i="2"/>
  <c r="R41" i="1" l="1"/>
  <c r="N50" i="1" l="1"/>
  <c r="AD43" i="1"/>
  <c r="AH43" i="1" s="1"/>
  <c r="F29" i="2"/>
  <c r="F32" i="2" s="1"/>
  <c r="H29" i="2" l="1"/>
  <c r="R44" i="1"/>
  <c r="V36" i="1"/>
  <c r="F33" i="2" l="1"/>
  <c r="F34" i="2" s="1"/>
  <c r="Q45" i="1"/>
  <c r="R45" i="1" s="1"/>
  <c r="AI43" i="1"/>
  <c r="AM43" i="1" s="1"/>
  <c r="H32" i="2"/>
  <c r="AQ43" i="1" l="1"/>
  <c r="AN43" i="1"/>
  <c r="V37" i="1"/>
  <c r="V38" i="1" s="1"/>
  <c r="H33" i="2"/>
  <c r="AR43" i="1" l="1"/>
  <c r="H34" i="2"/>
</calcChain>
</file>

<file path=xl/sharedStrings.xml><?xml version="1.0" encoding="utf-8"?>
<sst xmlns="http://schemas.openxmlformats.org/spreadsheetml/2006/main" count="346" uniqueCount="181">
  <si>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</si>
  <si>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</si>
  <si>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</si>
  <si>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</si>
  <si>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</si>
  <si>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</si>
  <si>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</si>
  <si>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</si>
  <si>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</si>
  <si>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</si>
  <si>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</si>
  <si>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</si>
  <si>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</si>
  <si>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</si>
  <si>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</si>
  <si>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</si>
  <si>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</si>
  <si>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</si>
  <si>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</si>
  <si>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</si>
  <si>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</si>
  <si>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</si>
  <si>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</si>
  <si>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</si>
  <si>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</si>
  <si>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</si>
  <si>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</si>
  <si>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</si>
  <si>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ИТОГО ПО ГЛАВАМ 1- 12</t>
  </si>
  <si>
    <t>Непредвиденные работы и затраты  3% (1,5%)</t>
  </si>
  <si>
    <t>ИТОГО</t>
  </si>
  <si>
    <t>ВСЕГО БЕЗ НДС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</si>
  <si>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</si>
  <si>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</si>
  <si>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</si>
  <si>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</si>
  <si>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</si>
  <si>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</si>
  <si>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</si>
  <si>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</si>
  <si>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</si>
  <si>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</si>
  <si>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</si>
  <si>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</si>
  <si>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</si>
  <si>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</si>
  <si>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</si>
  <si>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</si>
  <si>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</si>
  <si>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</si>
  <si>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</si>
  <si>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</si>
  <si>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</si>
  <si>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</si>
  <si>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</si>
  <si>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</si>
  <si>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ИТОГО ПО ГЛАВАМ 1- 9, в том числе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</si>
  <si>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</si>
  <si>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</si>
  <si>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</si>
  <si>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</si>
  <si>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</si>
  <si>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</si>
  <si>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</si>
  <si>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</si>
  <si>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</si>
  <si>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</si>
  <si>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</si>
  <si>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</si>
  <si>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</si>
  <si>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</si>
  <si>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</si>
  <si>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тыс. руб.</t>
  </si>
  <si>
    <t>(ссылка на документ об утверждении)</t>
  </si>
  <si>
    <t>СВОДНЫЙ СМЕТНЫЙ РАСЧЕТ СТОИМОСТИ СТРОИТЕЛЬСТВА</t>
  </si>
  <si>
    <t>Лок см 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</si>
  <si>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</si>
  <si>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</si>
  <si>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</si>
  <si>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2018 год</t>
  </si>
  <si>
    <t>Средства на возведение, разборку временных зданий и сооружений, %2,5</t>
  </si>
  <si>
    <t>ведущий инженер СПС УКС</t>
  </si>
  <si>
    <t>Начальник отдела капитального строительства
филиала ПАО "МРСК Северо-Запада" "Комиэнерго"</t>
  </si>
  <si>
    <t>/Н.С. Кривоногова/</t>
  </si>
  <si>
    <t>Дата  расчета</t>
  </si>
  <si>
    <t>(должность, подпись, Ф.И.О.)</t>
  </si>
  <si>
    <t xml:space="preserve">Скрипов Д.М. </t>
  </si>
  <si>
    <t>Составил</t>
  </si>
  <si>
    <t>(подпись, Ф.И.О.)</t>
  </si>
  <si>
    <t>(наименование)</t>
  </si>
  <si>
    <t>Бычков С.И.</t>
  </si>
  <si>
    <t>отдела</t>
  </si>
  <si>
    <t>Проектного</t>
  </si>
  <si>
    <t>Начальник</t>
  </si>
  <si>
    <t>Главный инженер проекта</t>
  </si>
  <si>
    <t>ВСЕГО ПО СВОДНОМУ СМЕТНОМУ РАСЧЕТУ :</t>
  </si>
  <si>
    <t>РЕЗЕРВ НА НЕПРЕДВИДЕННЫЕ РАБОТЫ И ЗАТРАТЫ (%=3)</t>
  </si>
  <si>
    <t>МДС 81-35.2004</t>
  </si>
  <si>
    <t>ИТОГО ПО ГЛАВАМ 1 - 12:</t>
  </si>
  <si>
    <t>ИТОГО ПО ГЛАВЕ 12:</t>
  </si>
  <si>
    <t>ИЗЫСКАТЕЛЬСКИЕ РАБОТЫ</t>
  </si>
  <si>
    <t>ПРОЕКТНЫЕ РАБОТЫ</t>
  </si>
  <si>
    <t>СМЕТА</t>
  </si>
  <si>
    <t>ПРОЕКТНЫЕ И ИЗЫСКАТЕЛЬСКИЕ РАБОТЫ</t>
  </si>
  <si>
    <t>Глава 12.</t>
  </si>
  <si>
    <t>ИТОГО ПО ГЛАВЕ 10:</t>
  </si>
  <si>
    <t>CОДЕРЖАНИЕ СЛУЖБЫ ЗАКАЗЧИКА-ЗАСТРОЙЩИКА, ЗА ИСКЛЮЧЕНИЕМ СТРОИТЕЛЬНОГО КОНТРОЛЯ  (%=3.73)</t>
  </si>
  <si>
    <t>СТРОИТЕЛЬНЫЙ КОНТРОЛЬ (%=2.14)</t>
  </si>
  <si>
    <t>СОДЕРЖАНИЕ ДИРЕКЦИИ (ТЕХНИЧЕСКИЙ НАДЗОР)</t>
  </si>
  <si>
    <t>Глава 10.</t>
  </si>
  <si>
    <t>ИТОГО ПО ГЛАВАМ 1 - 9:</t>
  </si>
  <si>
    <t>ИТОГО ПО ГЛАВЕ 9:</t>
  </si>
  <si>
    <t>ЗАТРАТЫ НА ПРОВЕДЕНИЕ ПУСКОНАЛАДОЧНЫХ РАБОТ</t>
  </si>
  <si>
    <t>СМЕТА,П. ГС.РФ от27.10.03 № НК-6848/10</t>
  </si>
  <si>
    <t>ЗАТРАТЫ,СВЯЗАННЫЕ С ПРЕМИРОВАНИЕМ ЗА ВВОД ПОСТРОЕННЫХ ОБЪЕКТОВ   (%= 2.55)</t>
  </si>
  <si>
    <t>П-мо М.Тр.Р.Ф.,Госстр. Р.Ф.от10.10.91№ 1336-ВК/1-Д</t>
  </si>
  <si>
    <t>ВОЗМЕЩЕНИЕ ДОПОЛНИТЕЛЬНЫХ ЗАТРАТ ПРИ ПРОИЗВОДСТВЕ СТРОИТЕЛЬНО-МОНТАЖНЫХ РАБОТ В ЗИМНЕЕ ВРЕМЯ</t>
  </si>
  <si>
    <t>ПРОЧИЕ РАБОТЫ И ЗАТРАТЫ</t>
  </si>
  <si>
    <t>Глава 9.</t>
  </si>
  <si>
    <t>В ТОМ ЧИСЛЕ СТPОИТЕЛЬНО-МОНТАЖНЫХ PАБОТ (k=1)</t>
  </si>
  <si>
    <t>ИТОГО ПО ГЛАВАМ 1 - 8:</t>
  </si>
  <si>
    <t>ИТОГО ПО ГЛАВЕ 8:</t>
  </si>
  <si>
    <t>СРЕДСТВА НА ВОЗВЕДЕНИЕ, РАЗБОРКУ ВРЕМЕННЫХ ЗДАНИЙ,СООРУЖЕНИЙ</t>
  </si>
  <si>
    <t>ВРЕМЕННЫЕ ЗДАНИЯ И СООРУЖЕНИЯ</t>
  </si>
  <si>
    <t>Глава 8.</t>
  </si>
  <si>
    <t>ИТОГО ПО ГЛАВАМ 1 - 7:</t>
  </si>
  <si>
    <t>ИТОГО ПО ГЛАВЕ 4:</t>
  </si>
  <si>
    <t>ОБЬЕКТЫ ЭНЕРГЕТИЧЕСКОГО ХОЗЯЙСТВА</t>
  </si>
  <si>
    <t>Глава 4.</t>
  </si>
  <si>
    <t>ИТОГО ПО ГЛАВЕ 1:</t>
  </si>
  <si>
    <t>ЗАТРАТЫ ПО ОТВОДУ ЗЕМЕЛЬНОГО УЧАСТКА</t>
  </si>
  <si>
    <t>РАСЧЕТ</t>
  </si>
  <si>
    <t>ЗАТРАТЫ НА ВЫНОС В НАТУРУ ОСЕЙ СООРУЖЕНИЙ</t>
  </si>
  <si>
    <t>РАСЧЕТ на основ.сб.цен на изыск.раб.</t>
  </si>
  <si>
    <t>ПОДГОТОВКА ТЕРРИТОРИИ СТРОИТЕЛЬСТВА</t>
  </si>
  <si>
    <t>Глава 1.</t>
  </si>
  <si>
    <t>оборудования, мебели, инвентаря</t>
  </si>
  <si>
    <t>Общая сметная стоимость, тыс.руб.</t>
  </si>
  <si>
    <t>Сметная стоимость, тыс.руб.</t>
  </si>
  <si>
    <t>Номера сметных расчетов и смет, Обоснование</t>
  </si>
  <si>
    <t>Номер по порядку</t>
  </si>
  <si>
    <t>«____»___________ 20___г.</t>
  </si>
  <si>
    <t>В том числе возвратных сумм</t>
  </si>
  <si>
    <t>Сводный сметный расчет в сумме</t>
  </si>
  <si>
    <t>«Утвержден»</t>
  </si>
  <si>
    <t>Форма № 1</t>
  </si>
  <si>
    <t>Сводн.см.расч.</t>
  </si>
  <si>
    <t>ПК РИК (вер.1.3.150609) тел./факс (495) 347-33-01</t>
  </si>
  <si>
    <t>Приказ "Комиэнерго"№182 от 19.04.2018</t>
  </si>
  <si>
    <t xml:space="preserve">&lt;  *_*  &gt; </t>
  </si>
  <si>
    <t>БЛОК 1
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</si>
  <si>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</si>
  <si>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>Стоимость строительства в ценах на период строительства в 2019 году</t>
  </si>
  <si>
    <t>НДС 20%</t>
  </si>
  <si>
    <t xml:space="preserve">Плановая стоимость объекта в прогнозных ценах 2019 года  относительно уровня 2017года </t>
  </si>
  <si>
    <t xml:space="preserve">БЛОК 3 
Плановая стоимость объекта в прогнозных ценах 2019 года  относительно уровня 4 кв. 2017года </t>
  </si>
  <si>
    <t xml:space="preserve">Заместитель директора по инвестиционной деятельности филиала ПАО "МРСК Северо-Запада" "Комиэнерго"
</t>
  </si>
  <si>
    <t>______________________________ /В.Ю. Размыслов/</t>
  </si>
  <si>
    <t>/В.Ю. Размыслов/</t>
  </si>
  <si>
    <t>Составлен в базисных ценах 2001 года с пересчетом в текущие цены на 2019 год</t>
  </si>
  <si>
    <t>'С учетом индексов-дефляторов 2019</t>
  </si>
  <si>
    <t>ГСН 81-05-02-2007</t>
  </si>
  <si>
    <t>CTRL+SPACE</t>
  </si>
  <si>
    <t>Составлена в текущих ценах  четвертого квартала 2018 г.</t>
  </si>
  <si>
    <t xml:space="preserve"> ¯\_(ツ)_/¯</t>
  </si>
  <si>
    <t>&lt;  *_*  &gt;</t>
  </si>
  <si>
    <t>Составлен в базовых ценах на 2000 год</t>
  </si>
  <si>
    <t>ГСН 81-05-02-2001</t>
  </si>
  <si>
    <t>ПНР</t>
  </si>
  <si>
    <t>Приказ "Комиэнерго"№265 от 05.05.2017</t>
  </si>
  <si>
    <t>Утвержденная сметная стоимость  строительства объекта  (в ценах 4 квартала 2018)</t>
  </si>
  <si>
    <t xml:space="preserve">Индексы на 1 квартал 2019 года </t>
  </si>
  <si>
    <t xml:space="preserve">ВЛ 0,4 </t>
  </si>
  <si>
    <t>КЛ 0,4 кВ</t>
  </si>
  <si>
    <t>КЛ 0,4</t>
  </si>
  <si>
    <t>009-55-2-02.41-0023 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- 0,13 км)</t>
  </si>
  <si>
    <t xml:space="preserve"> без ПИР</t>
  </si>
  <si>
    <t>КЛ 0,4 кВ (времен. 2,5%, зимн. 3,19%)</t>
  </si>
  <si>
    <t>009-55-2-02.41-0023.Строительство 2КЛ 0,4 кВ от ТП 10/0,4 кВ №196 в г. Сыктывкаре Республики Коми (Фонд развития жилищного строительства Республики Коми Дог. № 56-03677Ю/18 от 06.11.2018) (2КЛ-0,4кВ 0,13 км.)</t>
  </si>
  <si>
    <t>Приказ</t>
  </si>
  <si>
    <t>Заказчик Директор производственного отделения "Южные электрические сети" Денерт Э.А.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</si>
</sst>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General;\-General;"/>
    <numFmt numFmtId="172" formatCode="#,##0.###;\-#,##0.###;#\ ##"/>
    <numFmt numFmtId="173" formatCode="##0"/>
    <numFmt numFmtId="174" formatCode="#,##0.###;\-#,##0.###;#.0\ ##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  <font>
      <b/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sz val="8"/>
      <color rgb="FF0070C0"/>
      <name val="Verdana"/>
      <family val="2"/>
      <charset val="204"/>
    </font>
    <font>
      <b/>
      <sz val="16"/>
      <color rgb="FFFF0000"/>
      <name val="Verdan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</cellStyleXfs>
  <cellXfs count="408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0" fontId="40" fillId="0" borderId="0" xfId="44">
      <alignment vertical="top"/>
      <protection locked="0"/>
    </xf>
    <xf numFmtId="171" fontId="42" fillId="0" borderId="0" xfId="44" applyNumberFormat="1" applyFont="1" applyAlignment="1">
      <alignment horizontal="right" vertical="top" wrapText="1"/>
      <protection locked="0"/>
    </xf>
    <xf numFmtId="49" fontId="41" fillId="0" borderId="35" xfId="44" applyNumberFormat="1" applyFont="1" applyBorder="1" applyAlignment="1">
      <alignment horizontal="center" vertical="top" wrapText="1"/>
      <protection locked="0"/>
    </xf>
    <xf numFmtId="49" fontId="43" fillId="0" borderId="0" xfId="44" applyNumberFormat="1" applyFont="1" applyAlignment="1">
      <alignment horizontal="left" vertical="top" wrapText="1"/>
      <protection locked="0"/>
    </xf>
    <xf numFmtId="164" fontId="43" fillId="0" borderId="0" xfId="44" applyNumberFormat="1" applyFont="1" applyAlignment="1">
      <alignment horizontal="right" vertical="top"/>
      <protection locked="0"/>
    </xf>
    <xf numFmtId="164" fontId="40" fillId="0" borderId="0" xfId="44" applyNumberFormat="1" applyFont="1" applyAlignment="1">
      <alignment horizontal="right" vertical="top" wrapText="1"/>
      <protection locked="0"/>
    </xf>
    <xf numFmtId="171" fontId="40" fillId="0" borderId="36" xfId="44" applyNumberFormat="1" applyFont="1" applyBorder="1" applyAlignment="1">
      <alignment horizontal="right" vertical="top" wrapText="1"/>
      <protection locked="0"/>
    </xf>
    <xf numFmtId="0" fontId="43" fillId="0" borderId="0" xfId="44" applyNumberFormat="1" applyFont="1" applyAlignment="1">
      <alignment horizontal="left" vertical="top" wrapText="1"/>
      <protection locked="0"/>
    </xf>
    <xf numFmtId="0" fontId="43" fillId="0" borderId="0" xfId="44" applyFont="1" applyAlignment="1" applyProtection="1">
      <alignment vertical="center" wrapText="1"/>
    </xf>
    <xf numFmtId="2" fontId="40" fillId="0" borderId="0" xfId="44" applyNumberFormat="1" applyAlignment="1" applyProtection="1"/>
    <xf numFmtId="0" fontId="40" fillId="0" borderId="0" xfId="44" applyAlignment="1" applyProtection="1"/>
    <xf numFmtId="164" fontId="40" fillId="0" borderId="0" xfId="44" applyNumberFormat="1" applyFont="1" applyAlignment="1" applyProtection="1">
      <alignment horizontal="right" vertical="center" wrapText="1"/>
    </xf>
    <xf numFmtId="0" fontId="40" fillId="0" borderId="0" xfId="44" applyFont="1" applyAlignment="1" applyProtection="1">
      <alignment vertical="center" wrapText="1"/>
    </xf>
    <xf numFmtId="0" fontId="40" fillId="0" borderId="0" xfId="44" applyFont="1" applyAlignment="1" applyProtection="1">
      <alignment horizontal="right" vertical="center" wrapText="1"/>
    </xf>
    <xf numFmtId="173" fontId="40" fillId="0" borderId="0" xfId="44" applyNumberFormat="1" applyFont="1" applyBorder="1" applyAlignment="1">
      <alignment horizontal="center" vertical="top" wrapText="1"/>
      <protection locked="0"/>
    </xf>
    <xf numFmtId="164" fontId="40" fillId="0" borderId="0" xfId="44" applyNumberFormat="1" applyFont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horizontal="right" vertical="center" wrapText="1"/>
    </xf>
    <xf numFmtId="173" fontId="40" fillId="0" borderId="37" xfId="44" applyNumberFormat="1" applyFont="1" applyBorder="1" applyAlignment="1">
      <alignment horizontal="center" vertical="top" wrapText="1"/>
      <protection locked="0"/>
    </xf>
    <xf numFmtId="49" fontId="40" fillId="0" borderId="3" xfId="44" applyNumberFormat="1" applyFont="1" applyBorder="1" applyAlignment="1">
      <alignment horizontal="center" vertical="center" wrapText="1"/>
      <protection locked="0"/>
    </xf>
    <xf numFmtId="171" fontId="40" fillId="0" borderId="35" xfId="44" applyNumberFormat="1" applyFont="1" applyBorder="1" applyAlignment="1">
      <alignment horizontal="right" vertical="top" wrapText="1"/>
      <protection locked="0"/>
    </xf>
    <xf numFmtId="49" fontId="43" fillId="0" borderId="0" xfId="44" applyNumberFormat="1" applyFont="1" applyAlignment="1">
      <alignment horizontal="left" vertical="top"/>
      <protection locked="0"/>
    </xf>
    <xf numFmtId="172" fontId="43" fillId="0" borderId="1" xfId="44" applyNumberFormat="1" applyFont="1" applyBorder="1" applyAlignment="1">
      <alignment vertical="top"/>
      <protection locked="0"/>
    </xf>
    <xf numFmtId="49" fontId="40" fillId="0" borderId="0" xfId="44" applyNumberFormat="1" applyFont="1" applyAlignment="1">
      <alignment vertical="top"/>
      <protection locked="0"/>
    </xf>
    <xf numFmtId="165" fontId="43" fillId="0" borderId="1" xfId="44" applyNumberFormat="1" applyFont="1" applyBorder="1" applyAlignment="1">
      <alignment horizontal="right" vertical="top"/>
      <protection locked="0"/>
    </xf>
    <xf numFmtId="171" fontId="43" fillId="0" borderId="1" xfId="44" applyNumberFormat="1" applyFont="1" applyBorder="1" applyAlignment="1">
      <alignment horizontal="right" vertical="top"/>
      <protection locked="0"/>
    </xf>
    <xf numFmtId="171" fontId="40" fillId="0" borderId="0" xfId="44" applyNumberFormat="1" applyFont="1" applyBorder="1" applyAlignment="1">
      <alignment horizontal="right" vertical="top"/>
      <protection locked="0"/>
    </xf>
    <xf numFmtId="49" fontId="40" fillId="0" borderId="1" xfId="44" applyNumberFormat="1" applyFont="1" applyBorder="1" applyAlignment="1">
      <alignment vertical="top"/>
      <protection locked="0"/>
    </xf>
    <xf numFmtId="49" fontId="44" fillId="0" borderId="0" xfId="44" applyNumberFormat="1" applyFont="1" applyAlignment="1">
      <alignment horizontal="right" vertical="top"/>
      <protection locked="0"/>
    </xf>
    <xf numFmtId="49" fontId="44" fillId="0" borderId="0" xfId="44" applyNumberFormat="1" applyFont="1" applyAlignment="1">
      <alignment horizontal="left" vertical="top"/>
      <protection locked="0"/>
    </xf>
    <xf numFmtId="164" fontId="43" fillId="3" borderId="0" xfId="44" applyNumberFormat="1" applyFont="1" applyFill="1" applyAlignment="1">
      <alignment horizontal="right" vertical="top"/>
      <protection locked="0"/>
    </xf>
    <xf numFmtId="164" fontId="43" fillId="0" borderId="0" xfId="44" applyNumberFormat="1" applyFont="1" applyAlignment="1" applyProtection="1">
      <alignment vertical="top"/>
    </xf>
    <xf numFmtId="171" fontId="45" fillId="0" borderId="0" xfId="44" applyNumberFormat="1" applyFont="1" applyAlignment="1">
      <alignment horizontal="right" vertical="top" wrapText="1"/>
      <protection locked="0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171" fontId="40" fillId="0" borderId="19" xfId="44" applyNumberFormat="1" applyFont="1" applyBorder="1" applyAlignment="1">
      <alignment horizontal="right" vertical="top" wrapText="1"/>
      <protection locked="0"/>
    </xf>
    <xf numFmtId="171" fontId="40" fillId="0" borderId="20" xfId="44" applyNumberFormat="1" applyFont="1" applyBorder="1" applyAlignment="1">
      <alignment horizontal="right" vertical="top" wrapText="1"/>
      <protection locked="0"/>
    </xf>
    <xf numFmtId="171" fontId="40" fillId="0" borderId="0" xfId="44" applyNumberFormat="1" applyFont="1" applyAlignment="1">
      <alignment horizontal="right" vertical="top" wrapText="1"/>
      <protection locked="0"/>
    </xf>
    <xf numFmtId="0" fontId="8" fillId="0" borderId="0" xfId="8" applyFont="1" applyAlignment="1">
      <alignment wrapText="1"/>
    </xf>
    <xf numFmtId="171" fontId="40" fillId="0" borderId="0" xfId="44" applyNumberFormat="1" applyFont="1" applyBorder="1" applyAlignment="1">
      <alignment horizontal="right" vertical="top" wrapText="1"/>
      <protection locked="0"/>
    </xf>
    <xf numFmtId="0" fontId="40" fillId="0" borderId="0" xfId="44" applyBorder="1" applyAlignment="1" applyProtection="1"/>
    <xf numFmtId="171" fontId="46" fillId="0" borderId="0" xfId="44" applyNumberFormat="1" applyFont="1" applyAlignment="1">
      <alignment vertical="top" wrapText="1"/>
      <protection locked="0"/>
    </xf>
    <xf numFmtId="0" fontId="40" fillId="0" borderId="0" xfId="44" applyFont="1" applyAlignment="1" applyProtection="1">
      <alignment horizontal="left" vertical="center" wrapText="1"/>
    </xf>
    <xf numFmtId="174" fontId="43" fillId="0" borderId="0" xfId="44" applyNumberFormat="1" applyFont="1" applyAlignment="1">
      <alignment horizontal="right" vertical="top"/>
      <protection locked="0"/>
    </xf>
    <xf numFmtId="172" fontId="43" fillId="0" borderId="0" xfId="44" applyNumberFormat="1" applyFont="1" applyAlignment="1">
      <alignment horizontal="right" vertical="top"/>
      <protection locked="0"/>
    </xf>
    <xf numFmtId="0" fontId="40" fillId="0" borderId="0" xfId="44" applyFill="1" applyBorder="1" applyAlignment="1" applyProtection="1"/>
    <xf numFmtId="0" fontId="43" fillId="0" borderId="0" xfId="44" applyFont="1" applyAlignment="1" applyProtection="1">
      <alignment horizontal="right" vertical="center" wrapText="1"/>
    </xf>
    <xf numFmtId="164" fontId="43" fillId="0" borderId="0" xfId="44" applyNumberFormat="1" applyFont="1" applyAlignment="1" applyProtection="1">
      <alignment horizontal="right" vertical="top" wrapText="1"/>
    </xf>
    <xf numFmtId="171" fontId="40" fillId="0" borderId="0" xfId="44" applyNumberFormat="1" applyFont="1" applyAlignment="1">
      <alignment horizontal="right" wrapText="1"/>
      <protection locked="0"/>
    </xf>
    <xf numFmtId="170" fontId="26" fillId="0" borderId="2" xfId="29" applyNumberFormat="1" applyFont="1" applyFill="1" applyBorder="1" applyAlignment="1">
      <alignment horizontal="right" vertical="top" wrapText="1"/>
    </xf>
    <xf numFmtId="49" fontId="40" fillId="0" borderId="0" xfId="44" applyNumberFormat="1" applyFont="1" applyAlignment="1">
      <alignment horizontal="left" vertical="top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right" vertical="top"/>
      <protection locked="0"/>
    </xf>
    <xf numFmtId="49" fontId="40" fillId="0" borderId="0" xfId="44" applyNumberFormat="1" applyFont="1" applyAlignment="1">
      <alignment horizontal="left" vertical="top"/>
      <protection locked="0"/>
    </xf>
    <xf numFmtId="0" fontId="40" fillId="0" borderId="0" xfId="44" applyNumberFormat="1" applyFont="1" applyAlignment="1">
      <alignment horizontal="left" vertical="top"/>
      <protection locked="0"/>
    </xf>
    <xf numFmtId="49" fontId="41" fillId="0" borderId="35" xfId="44" applyNumberFormat="1" applyFont="1" applyBorder="1" applyAlignment="1">
      <alignment horizontal="center" vertical="top"/>
      <protection locked="0"/>
    </xf>
    <xf numFmtId="49" fontId="40" fillId="0" borderId="0" xfId="44" applyNumberFormat="1" applyFont="1" applyAlignment="1">
      <alignment horizontal="right" vertical="top" wrapText="1"/>
      <protection locked="0"/>
    </xf>
    <xf numFmtId="49" fontId="40" fillId="0" borderId="15" xfId="44" applyNumberFormat="1" applyFont="1" applyBorder="1" applyAlignment="1">
      <alignment horizontal="center" vertical="center" wrapText="1"/>
      <protection locked="0"/>
    </xf>
    <xf numFmtId="49" fontId="40" fillId="0" borderId="16" xfId="44" applyNumberFormat="1" applyFont="1" applyBorder="1" applyAlignment="1">
      <alignment horizontal="center" vertical="center" wrapText="1"/>
      <protection locked="0"/>
    </xf>
    <xf numFmtId="49" fontId="40" fillId="0" borderId="4" xfId="44" applyNumberFormat="1" applyFont="1" applyBorder="1" applyAlignment="1">
      <alignment horizontal="center" vertical="center" wrapText="1"/>
      <protection locked="0"/>
    </xf>
    <xf numFmtId="49" fontId="40" fillId="0" borderId="5" xfId="44" applyNumberFormat="1" applyFont="1" applyBorder="1" applyAlignment="1">
      <alignment horizontal="center" vertical="center" wrapText="1"/>
      <protection locked="0"/>
    </xf>
    <xf numFmtId="49" fontId="40" fillId="0" borderId="2" xfId="44" applyNumberFormat="1" applyFont="1" applyBorder="1" applyAlignment="1">
      <alignment horizontal="center" vertical="center" wrapText="1"/>
      <protection locked="0"/>
    </xf>
    <xf numFmtId="49" fontId="43" fillId="0" borderId="0" xfId="44" applyNumberFormat="1" applyFont="1" applyAlignment="1">
      <alignment horizontal="right" vertical="top"/>
      <protection locked="0"/>
    </xf>
    <xf numFmtId="171" fontId="40" fillId="0" borderId="1" xfId="44" applyNumberFormat="1" applyFont="1" applyBorder="1" applyAlignment="1">
      <alignment horizontal="center" vertical="top" wrapText="1"/>
      <protection locked="0"/>
    </xf>
    <xf numFmtId="171" fontId="40" fillId="0" borderId="35" xfId="44" applyNumberFormat="1" applyFont="1" applyBorder="1" applyAlignment="1">
      <alignment horizontal="center" vertical="top" wrapText="1"/>
      <protection locked="0"/>
    </xf>
    <xf numFmtId="171" fontId="40" fillId="0" borderId="0" xfId="44" applyNumberFormat="1" applyFont="1" applyAlignment="1">
      <alignment horizontal="left" vertical="top" wrapText="1"/>
      <protection locked="0"/>
    </xf>
    <xf numFmtId="49" fontId="43" fillId="0" borderId="0" xfId="44" applyNumberFormat="1" applyFont="1" applyAlignment="1">
      <alignment horizontal="center" vertical="top"/>
      <protection locked="0"/>
    </xf>
    <xf numFmtId="49" fontId="40" fillId="0" borderId="1" xfId="44" applyNumberFormat="1" applyFont="1" applyBorder="1" applyAlignment="1">
      <alignment horizontal="left" vertical="top" wrapText="1"/>
      <protection locked="0"/>
    </xf>
    <xf numFmtId="0" fontId="40" fillId="0" borderId="1" xfId="44" applyNumberFormat="1" applyFont="1" applyBorder="1" applyAlignment="1">
      <alignment horizontal="left" vertical="top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8" fillId="0" borderId="0" xfId="8" applyFont="1" applyAlignment="1">
      <alignment horizontal="right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1214437</xdr:colOff>
      <xdr:row>45</xdr:row>
      <xdr:rowOff>11906</xdr:rowOff>
    </xdr:from>
    <xdr:to>
      <xdr:col>2</xdr:col>
      <xdr:colOff>1915538</xdr:colOff>
      <xdr:row>46</xdr:row>
      <xdr:rowOff>162237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55156" y="11822906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2</xdr:col>
      <xdr:colOff>297656</xdr:colOff>
      <xdr:row>46</xdr:row>
      <xdr:rowOff>166687</xdr:rowOff>
    </xdr:from>
    <xdr:to>
      <xdr:col>2</xdr:col>
      <xdr:colOff>1157267</xdr:colOff>
      <xdr:row>48</xdr:row>
      <xdr:rowOff>8604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38375" y="12144375"/>
          <a:ext cx="859611" cy="365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37</xdr:row>
      <xdr:rowOff>130968</xdr:rowOff>
    </xdr:from>
    <xdr:to>
      <xdr:col>2</xdr:col>
      <xdr:colOff>4237257</xdr:colOff>
      <xdr:row>39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view="pageBreakPreview" zoomScale="115" zoomScaleNormal="100" zoomScaleSheetLayoutView="115" workbookViewId="0">
      <selection activeCell="E23" sqref="E23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18.7109375" style="292" customWidth="1"/>
    <col min="19" max="26" width="9.140625" style="292"/>
    <col min="27" max="27" width="13.140625" style="292" customWidth="1"/>
    <col min="28" max="35" width="9.140625" style="292"/>
    <col min="36" max="36" width="16.85546875" style="292" customWidth="1"/>
    <col min="37" max="44" width="9.140625" style="292"/>
    <col min="45" max="45" width="15.28515625" style="292" customWidth="1"/>
    <col min="46" max="16384" width="9.140625" style="292"/>
  </cols>
  <sheetData>
    <row r="1" spans="1:52" x14ac:dyDescent="0.25">
      <c r="A1" s="200" t="s">
        <v>165</v>
      </c>
      <c r="C1" s="200" t="s">
        <v>147</v>
      </c>
      <c r="H1" s="199" t="s">
        <v>146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t="2.25" customHeight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ht="10.5" customHeight="1" x14ac:dyDescent="0.25">
      <c r="A3" s="317" t="s">
        <v>145</v>
      </c>
      <c r="B3" s="317"/>
      <c r="C3" s="317"/>
      <c r="D3" s="317"/>
      <c r="E3" s="317"/>
      <c r="F3" s="317"/>
      <c r="G3" s="317"/>
      <c r="H3" s="317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ht="15" customHeight="1" x14ac:dyDescent="0.25">
      <c r="A4" s="305" t="s">
        <v>180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t="3" customHeight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ht="0.75" customHeight="1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144</v>
      </c>
      <c r="B7" s="194"/>
      <c r="C7" s="194" t="s">
        <v>141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143</v>
      </c>
      <c r="B8" s="194"/>
      <c r="C8" s="197"/>
      <c r="D8" s="196"/>
      <c r="E8" s="196"/>
      <c r="F8" s="195">
        <v>88.593999999999994</v>
      </c>
      <c r="G8" s="192" t="s">
        <v>72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142</v>
      </c>
      <c r="B9" s="194"/>
      <c r="C9" s="193"/>
      <c r="D9" s="193"/>
      <c r="E9" s="193"/>
      <c r="F9" s="193"/>
      <c r="G9" s="192" t="s">
        <v>72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t="11.25" hidden="1" customHeight="1" x14ac:dyDescent="0.25">
      <c r="C10" s="191"/>
      <c r="D10" s="191"/>
      <c r="E10" s="191"/>
      <c r="F10" s="191"/>
      <c r="K10" s="294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ht="12" customHeight="1" x14ac:dyDescent="0.25">
      <c r="A11" s="318" t="s">
        <v>179</v>
      </c>
      <c r="B11" s="318"/>
      <c r="C11" s="318"/>
      <c r="D11" s="318"/>
      <c r="E11" s="318"/>
      <c r="F11" s="318"/>
      <c r="G11" s="318"/>
      <c r="H11" s="318"/>
      <c r="K11" s="294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ht="10.5" customHeight="1" x14ac:dyDescent="0.15">
      <c r="A12" s="319" t="s">
        <v>73</v>
      </c>
      <c r="B12" s="319"/>
      <c r="C12" s="319"/>
      <c r="D12" s="319"/>
      <c r="E12" s="319"/>
      <c r="F12" s="319"/>
      <c r="G12" s="319"/>
      <c r="H12" s="319"/>
      <c r="K12" s="295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ht="10.5" customHeight="1" x14ac:dyDescent="0.15">
      <c r="A13" s="320" t="s">
        <v>141</v>
      </c>
      <c r="B13" s="320"/>
      <c r="C13" s="320"/>
      <c r="D13" s="320"/>
      <c r="E13" s="320"/>
      <c r="F13" s="320"/>
      <c r="G13" s="320"/>
      <c r="H13" s="320"/>
      <c r="K13" s="295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ht="10.5" customHeight="1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ht="10.5" customHeight="1" x14ac:dyDescent="0.25">
      <c r="A15" s="321" t="s">
        <v>74</v>
      </c>
      <c r="B15" s="321"/>
      <c r="C15" s="321"/>
      <c r="D15" s="321"/>
      <c r="E15" s="321"/>
      <c r="F15" s="321"/>
      <c r="G15" s="321"/>
      <c r="H15" s="321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22" t="s">
        <v>178</v>
      </c>
      <c r="B16" s="323"/>
      <c r="C16" s="323"/>
      <c r="D16" s="323"/>
      <c r="E16" s="323"/>
      <c r="F16" s="323"/>
      <c r="G16" s="323"/>
      <c r="H16" s="323"/>
      <c r="J16" s="296"/>
      <c r="K16" s="296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08" t="s">
        <v>166</v>
      </c>
      <c r="B18" s="308"/>
      <c r="C18" s="308"/>
      <c r="D18" s="308"/>
      <c r="E18" s="308"/>
      <c r="F18" s="308"/>
      <c r="G18" s="308"/>
      <c r="H18" s="308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2" t="s">
        <v>140</v>
      </c>
      <c r="B21" s="312" t="s">
        <v>139</v>
      </c>
      <c r="C21" s="312" t="s">
        <v>50</v>
      </c>
      <c r="D21" s="314" t="s">
        <v>138</v>
      </c>
      <c r="E21" s="315"/>
      <c r="F21" s="315"/>
      <c r="G21" s="316"/>
      <c r="H21" s="312" t="s">
        <v>137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3"/>
      <c r="B22" s="313"/>
      <c r="C22" s="313"/>
      <c r="D22" s="190" t="s">
        <v>5</v>
      </c>
      <c r="E22" s="190" t="s">
        <v>6</v>
      </c>
      <c r="F22" s="190" t="s">
        <v>136</v>
      </c>
      <c r="G22" s="190" t="s">
        <v>8</v>
      </c>
      <c r="H22" s="313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t="10.5" hidden="1" customHeight="1" x14ac:dyDescent="0.25">
      <c r="A25" s="186"/>
      <c r="B25" s="180" t="s">
        <v>135</v>
      </c>
      <c r="C25" s="180" t="s">
        <v>134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25.5" hidden="1" customHeight="1" x14ac:dyDescent="0.25">
      <c r="A26" s="186"/>
      <c r="B26" s="180" t="s">
        <v>133</v>
      </c>
      <c r="C26" s="180" t="s">
        <v>132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t="10.5" hidden="1" customHeight="1" x14ac:dyDescent="0.25">
      <c r="A27" s="186"/>
      <c r="B27" s="180" t="s">
        <v>131</v>
      </c>
      <c r="C27" s="180" t="s">
        <v>130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t="10.5" hidden="1" customHeight="1" x14ac:dyDescent="0.25">
      <c r="A28" s="186"/>
      <c r="B28" s="180"/>
      <c r="C28" s="180" t="s">
        <v>129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t="10.5" hidden="1" customHeight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128</v>
      </c>
      <c r="C30" s="175" t="s">
        <v>127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297" t="s">
        <v>177</v>
      </c>
      <c r="D31" s="183">
        <v>20.588000000000001</v>
      </c>
      <c r="E31" s="183">
        <v>54.314999999999998</v>
      </c>
      <c r="F31" s="183">
        <v>0</v>
      </c>
      <c r="G31" s="183">
        <v>0</v>
      </c>
      <c r="H31" s="176">
        <v>74.903000000000006</v>
      </c>
      <c r="I31" s="292">
        <v>2.5</v>
      </c>
      <c r="J31" s="292">
        <v>3.19</v>
      </c>
      <c r="K31" s="177">
        <v>0.51500000000000001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>
        <v>0</v>
      </c>
      <c r="B32" s="184">
        <v>0</v>
      </c>
      <c r="C32" s="297">
        <v>0</v>
      </c>
      <c r="D32" s="183">
        <v>0</v>
      </c>
      <c r="E32" s="183">
        <v>0</v>
      </c>
      <c r="F32" s="183">
        <v>0</v>
      </c>
      <c r="G32" s="183">
        <v>0</v>
      </c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>
        <v>0</v>
      </c>
      <c r="B33" s="184">
        <v>0</v>
      </c>
      <c r="C33" s="297">
        <v>0</v>
      </c>
      <c r="D33" s="183">
        <v>0</v>
      </c>
      <c r="E33" s="183">
        <v>0</v>
      </c>
      <c r="F33" s="183">
        <v>0</v>
      </c>
      <c r="G33" s="183">
        <v>0</v>
      </c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>
        <v>0</v>
      </c>
      <c r="B34" s="184">
        <v>0</v>
      </c>
      <c r="C34" s="297">
        <v>0</v>
      </c>
      <c r="D34" s="183">
        <v>0</v>
      </c>
      <c r="E34" s="183">
        <v>0</v>
      </c>
      <c r="F34" s="183">
        <v>0</v>
      </c>
      <c r="G34" s="183">
        <v>0</v>
      </c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126</v>
      </c>
      <c r="D35" s="176">
        <v>20.588000000000001</v>
      </c>
      <c r="E35" s="176">
        <v>54.314999999999998</v>
      </c>
      <c r="F35" s="176">
        <v>0</v>
      </c>
      <c r="G35" s="176">
        <v>0</v>
      </c>
      <c r="H35" s="176">
        <v>74.903000000000006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125</v>
      </c>
      <c r="D36" s="176">
        <v>20.588000000000001</v>
      </c>
      <c r="E36" s="176">
        <v>54.314999999999998</v>
      </c>
      <c r="F36" s="176">
        <v>0</v>
      </c>
      <c r="G36" s="176">
        <v>0</v>
      </c>
      <c r="H36" s="176">
        <v>74.903000000000006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124</v>
      </c>
      <c r="C38" s="175" t="s">
        <v>123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55</v>
      </c>
      <c r="C39" s="175" t="s">
        <v>122</v>
      </c>
      <c r="D39" s="176">
        <v>0.51500000000000001</v>
      </c>
      <c r="E39" s="176">
        <v>1.3580000000000001</v>
      </c>
      <c r="F39" s="176"/>
      <c r="G39" s="176"/>
      <c r="H39" s="176">
        <v>1.873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121</v>
      </c>
      <c r="D40" s="176">
        <v>0.51500000000000001</v>
      </c>
      <c r="E40" s="176">
        <v>1.3580000000000001</v>
      </c>
      <c r="F40" s="176"/>
      <c r="G40" s="176"/>
      <c r="H40" s="176">
        <v>1.873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120</v>
      </c>
      <c r="D41" s="176">
        <v>21.103000000000002</v>
      </c>
      <c r="E41" s="176">
        <v>55.673000000000002</v>
      </c>
      <c r="F41" s="176">
        <v>0</v>
      </c>
      <c r="G41" s="176">
        <v>0</v>
      </c>
      <c r="H41" s="176">
        <v>76.775999999999996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119</v>
      </c>
      <c r="D42" s="176">
        <v>21.103000000000002</v>
      </c>
      <c r="E42" s="176">
        <v>55.673000000000002</v>
      </c>
      <c r="F42" s="176"/>
      <c r="G42" s="176"/>
      <c r="H42" s="176">
        <v>76.775999999999996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118</v>
      </c>
      <c r="C44" s="175" t="s">
        <v>117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167</v>
      </c>
      <c r="C45" s="175" t="s">
        <v>116</v>
      </c>
      <c r="D45" s="298">
        <v>0.67300000000000004</v>
      </c>
      <c r="E45" s="298">
        <v>1.776</v>
      </c>
      <c r="F45" s="299"/>
      <c r="G45" s="299"/>
      <c r="H45" s="299">
        <v>2.4489999999999998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42" x14ac:dyDescent="0.15">
      <c r="B46" s="175" t="s">
        <v>115</v>
      </c>
      <c r="C46" s="179" t="s">
        <v>114</v>
      </c>
      <c r="D46" s="299"/>
      <c r="E46" s="299"/>
      <c r="F46" s="299"/>
      <c r="G46" s="299">
        <v>2.02</v>
      </c>
      <c r="H46" s="299">
        <v>2.02</v>
      </c>
      <c r="I46" s="292">
        <v>2.5499999999999998</v>
      </c>
      <c r="J46" s="300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15">
      <c r="B47" s="180" t="s">
        <v>113</v>
      </c>
      <c r="C47" s="175" t="s">
        <v>112</v>
      </c>
      <c r="D47" s="301"/>
      <c r="E47" s="301"/>
      <c r="F47" s="301"/>
      <c r="G47" s="302">
        <v>0</v>
      </c>
      <c r="H47" s="299">
        <v>0</v>
      </c>
      <c r="I47" s="303">
        <v>15.95</v>
      </c>
      <c r="J47" s="303" t="s">
        <v>168</v>
      </c>
      <c r="K47" s="177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111</v>
      </c>
      <c r="D48" s="299">
        <v>0.67300000000000004</v>
      </c>
      <c r="E48" s="299">
        <v>1.776</v>
      </c>
      <c r="F48" s="299">
        <v>0</v>
      </c>
      <c r="G48" s="299">
        <v>2.02</v>
      </c>
      <c r="H48" s="299">
        <v>4.4690000000000003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110</v>
      </c>
      <c r="D49" s="299">
        <v>21.776</v>
      </c>
      <c r="E49" s="299">
        <v>57.448999999999998</v>
      </c>
      <c r="F49" s="299">
        <v>0</v>
      </c>
      <c r="G49" s="299">
        <v>2.02</v>
      </c>
      <c r="H49" s="299">
        <v>81.245000000000005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109</v>
      </c>
      <c r="C51" s="175" t="s">
        <v>108</v>
      </c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169</v>
      </c>
      <c r="C52" s="179" t="s">
        <v>107</v>
      </c>
      <c r="D52" s="176"/>
      <c r="E52" s="176"/>
      <c r="F52" s="176"/>
      <c r="G52" s="176">
        <v>1.7390000000000001</v>
      </c>
      <c r="H52" s="176">
        <v>1.7390000000000001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169</v>
      </c>
      <c r="C53" s="179" t="s">
        <v>106</v>
      </c>
      <c r="D53" s="176"/>
      <c r="E53" s="176"/>
      <c r="F53" s="176"/>
      <c r="G53" s="176">
        <v>3.03</v>
      </c>
      <c r="H53" s="176">
        <v>3.03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ht="10.5" customHeight="1" x14ac:dyDescent="0.25">
      <c r="B54" s="175"/>
      <c r="C54" s="175" t="s">
        <v>105</v>
      </c>
      <c r="D54" s="176"/>
      <c r="E54" s="176"/>
      <c r="F54" s="176"/>
      <c r="G54" s="176">
        <v>4.7690000000000001</v>
      </c>
      <c r="H54" s="176">
        <v>4.7690000000000001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104</v>
      </c>
      <c r="C56" s="175" t="s">
        <v>103</v>
      </c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102</v>
      </c>
      <c r="C57" s="175" t="s">
        <v>101</v>
      </c>
      <c r="D57" s="299"/>
      <c r="E57" s="299"/>
      <c r="F57" s="299"/>
      <c r="G57" s="302">
        <f>28.867/3.83</f>
        <v>7.5370757180156662</v>
      </c>
      <c r="H57" s="176">
        <f>G57</f>
        <v>7.5370757180156662</v>
      </c>
      <c r="I57" s="292">
        <v>3.83</v>
      </c>
      <c r="J57" s="178" t="s">
        <v>176</v>
      </c>
      <c r="K57" s="177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100</v>
      </c>
      <c r="D58" s="299"/>
      <c r="E58" s="299"/>
      <c r="F58" s="299"/>
      <c r="G58" s="302">
        <v>0</v>
      </c>
      <c r="H58" s="176">
        <v>0</v>
      </c>
      <c r="I58" s="292">
        <v>3.91</v>
      </c>
      <c r="K58" s="177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99</v>
      </c>
      <c r="D59" s="299"/>
      <c r="E59" s="299"/>
      <c r="F59" s="299"/>
      <c r="G59" s="176">
        <f>G57</f>
        <v>7.5370757180156662</v>
      </c>
      <c r="H59" s="176">
        <f>H57</f>
        <v>7.5370757180156662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98</v>
      </c>
      <c r="D60" s="299">
        <v>21.776</v>
      </c>
      <c r="E60" s="299">
        <v>57.448999999999998</v>
      </c>
      <c r="F60" s="299">
        <v>0</v>
      </c>
      <c r="G60" s="299">
        <f>6.789+G59</f>
        <v>14.326075718015666</v>
      </c>
      <c r="H60" s="299">
        <f>86.014+G59</f>
        <v>93.551075718015667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ht="21" customHeight="1" x14ac:dyDescent="0.25">
      <c r="B61" s="175" t="s">
        <v>97</v>
      </c>
      <c r="C61" s="175" t="s">
        <v>96</v>
      </c>
      <c r="D61" s="299">
        <v>0.65300000000000002</v>
      </c>
      <c r="E61" s="299">
        <v>1.7230000000000001</v>
      </c>
      <c r="F61" s="299">
        <v>0</v>
      </c>
      <c r="G61" s="299">
        <v>0.20399999999999999</v>
      </c>
      <c r="H61" s="299">
        <v>2.58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95</v>
      </c>
      <c r="D62" s="299">
        <v>22.428999999999998</v>
      </c>
      <c r="E62" s="299">
        <v>59.171999999999997</v>
      </c>
      <c r="F62" s="299">
        <v>0</v>
      </c>
      <c r="G62" s="299">
        <f>6.993+G59</f>
        <v>14.530075718015667</v>
      </c>
      <c r="H62" s="299">
        <f>88.594+G59</f>
        <v>96.131075718015666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11" t="s">
        <v>94</v>
      </c>
      <c r="B64" s="311"/>
      <c r="C64" s="308"/>
      <c r="D64" s="308"/>
      <c r="E64" s="308"/>
      <c r="F64" s="308"/>
      <c r="G64" s="308"/>
      <c r="H64" s="308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10" t="s">
        <v>88</v>
      </c>
      <c r="D65" s="310"/>
      <c r="E65" s="310"/>
      <c r="F65" s="310"/>
      <c r="G65" s="310"/>
      <c r="H65" s="310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x14ac:dyDescent="0.25">
      <c r="A67" s="307" t="s">
        <v>93</v>
      </c>
      <c r="B67" s="307"/>
      <c r="C67" s="306" t="s">
        <v>92</v>
      </c>
      <c r="D67" s="305" t="s">
        <v>91</v>
      </c>
      <c r="E67" s="308" t="s">
        <v>90</v>
      </c>
      <c r="F67" s="308"/>
      <c r="G67" s="308"/>
      <c r="H67" s="308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x14ac:dyDescent="0.25">
      <c r="C68" s="174" t="s">
        <v>89</v>
      </c>
      <c r="E68" s="310" t="s">
        <v>88</v>
      </c>
      <c r="F68" s="310"/>
      <c r="G68" s="310"/>
      <c r="H68" s="310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07" t="s">
        <v>87</v>
      </c>
      <c r="B70" s="307"/>
      <c r="C70" s="308" t="s">
        <v>86</v>
      </c>
      <c r="D70" s="309"/>
      <c r="E70" s="309"/>
      <c r="F70" s="309"/>
      <c r="G70" s="309"/>
      <c r="H70" s="309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x14ac:dyDescent="0.25">
      <c r="C71" s="310" t="s">
        <v>85</v>
      </c>
      <c r="D71" s="310"/>
      <c r="E71" s="310"/>
      <c r="F71" s="310"/>
      <c r="G71" s="310"/>
      <c r="H71" s="310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ht="13.5" customHeight="1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0"/>
  <sheetViews>
    <sheetView showZeros="0" tabSelected="1" view="pageBreakPreview" topLeftCell="A33" zoomScale="115" zoomScaleNormal="100" zoomScaleSheetLayoutView="115" workbookViewId="0">
      <selection activeCell="D62" sqref="D62:E62"/>
    </sheetView>
  </sheetViews>
  <sheetFormatPr defaultRowHeight="10.5" x14ac:dyDescent="0.25"/>
  <cols>
    <col min="1" max="1" width="6" style="292" customWidth="1"/>
    <col min="2" max="2" width="22.140625" style="292" customWidth="1"/>
    <col min="3" max="3" width="65.28515625" style="292" customWidth="1"/>
    <col min="4" max="8" width="10.85546875" style="292" customWidth="1"/>
    <col min="9" max="10" width="9.140625" style="292"/>
    <col min="11" max="11" width="17.5703125" style="292" customWidth="1"/>
    <col min="12" max="12" width="11.85546875" style="292" bestFit="1" customWidth="1"/>
    <col min="13" max="13" width="9.5703125" style="292" bestFit="1" customWidth="1"/>
    <col min="14" max="14" width="11.7109375" style="292" bestFit="1" customWidth="1"/>
    <col min="15" max="15" width="9.5703125" style="292" bestFit="1" customWidth="1"/>
    <col min="16" max="16" width="11.7109375" style="292" bestFit="1" customWidth="1"/>
    <col min="17" max="17" width="9.140625" style="292"/>
    <col min="18" max="18" width="28.140625" style="292" customWidth="1"/>
    <col min="19" max="22" width="9.140625" style="292" customWidth="1"/>
    <col min="23" max="16384" width="9.140625" style="292"/>
  </cols>
  <sheetData>
    <row r="1" spans="1:52" x14ac:dyDescent="0.25">
      <c r="A1" s="200" t="s">
        <v>149</v>
      </c>
      <c r="C1" s="200" t="s">
        <v>147</v>
      </c>
      <c r="H1" s="199" t="s">
        <v>146</v>
      </c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</row>
    <row r="2" spans="1:52" hidden="1" x14ac:dyDescent="0.25"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</row>
    <row r="3" spans="1:52" x14ac:dyDescent="0.25">
      <c r="A3" s="317" t="s">
        <v>145</v>
      </c>
      <c r="B3" s="317"/>
      <c r="C3" s="317"/>
      <c r="D3" s="317"/>
      <c r="E3" s="317"/>
      <c r="F3" s="317"/>
      <c r="G3" s="317"/>
      <c r="H3" s="317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</row>
    <row r="4" spans="1:52" x14ac:dyDescent="0.25">
      <c r="A4" s="305" t="s">
        <v>180</v>
      </c>
      <c r="B4" s="198"/>
      <c r="C4" s="198"/>
      <c r="D4" s="198"/>
      <c r="E4" s="198"/>
      <c r="F4" s="198"/>
      <c r="G4" s="198"/>
      <c r="H4" s="198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</row>
    <row r="5" spans="1:52" hidden="1" x14ac:dyDescent="0.25">
      <c r="B5" s="191"/>
      <c r="C5" s="191"/>
      <c r="D5" s="191"/>
      <c r="E5" s="191"/>
      <c r="F5" s="191"/>
      <c r="G5" s="191"/>
      <c r="H5" s="191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</row>
    <row r="6" spans="1:52" x14ac:dyDescent="0.25"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</row>
    <row r="7" spans="1:52" x14ac:dyDescent="0.25">
      <c r="A7" s="305" t="s">
        <v>144</v>
      </c>
      <c r="B7" s="194"/>
      <c r="C7" s="194" t="s">
        <v>141</v>
      </c>
      <c r="D7" s="194"/>
      <c r="E7" s="194"/>
      <c r="F7" s="194"/>
      <c r="G7" s="194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</row>
    <row r="8" spans="1:52" x14ac:dyDescent="0.25">
      <c r="A8" s="194" t="s">
        <v>143</v>
      </c>
      <c r="B8" s="194"/>
      <c r="C8" s="197"/>
      <c r="D8" s="196"/>
      <c r="E8" s="196"/>
      <c r="F8" s="195">
        <v>462.46</v>
      </c>
      <c r="G8" s="192" t="s">
        <v>72</v>
      </c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</row>
    <row r="9" spans="1:52" x14ac:dyDescent="0.25">
      <c r="A9" s="194" t="s">
        <v>142</v>
      </c>
      <c r="B9" s="194"/>
      <c r="C9" s="193"/>
      <c r="D9" s="193"/>
      <c r="E9" s="193"/>
      <c r="F9" s="193"/>
      <c r="G9" s="192" t="s">
        <v>72</v>
      </c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</row>
    <row r="10" spans="1:52" hidden="1" x14ac:dyDescent="0.25">
      <c r="C10" s="191"/>
      <c r="D10" s="191"/>
      <c r="E10" s="191"/>
      <c r="F10" s="191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</row>
    <row r="11" spans="1:52" x14ac:dyDescent="0.25">
      <c r="A11" s="318" t="s">
        <v>179</v>
      </c>
      <c r="B11" s="318"/>
      <c r="C11" s="318"/>
      <c r="D11" s="318"/>
      <c r="E11" s="318"/>
      <c r="F11" s="318"/>
      <c r="G11" s="318"/>
      <c r="H11" s="318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</row>
    <row r="12" spans="1:52" x14ac:dyDescent="0.25">
      <c r="A12" s="319" t="s">
        <v>73</v>
      </c>
      <c r="B12" s="319"/>
      <c r="C12" s="319"/>
      <c r="D12" s="319"/>
      <c r="E12" s="319"/>
      <c r="F12" s="319"/>
      <c r="G12" s="319"/>
      <c r="H12" s="319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</row>
    <row r="13" spans="1:52" x14ac:dyDescent="0.25">
      <c r="A13" s="320" t="s">
        <v>141</v>
      </c>
      <c r="B13" s="320"/>
      <c r="C13" s="320"/>
      <c r="D13" s="320"/>
      <c r="E13" s="320"/>
      <c r="F13" s="320"/>
      <c r="G13" s="320"/>
      <c r="H13" s="320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</row>
    <row r="14" spans="1:52" x14ac:dyDescent="0.25"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</row>
    <row r="15" spans="1:52" x14ac:dyDescent="0.25">
      <c r="A15" s="321" t="s">
        <v>74</v>
      </c>
      <c r="B15" s="321"/>
      <c r="C15" s="321"/>
      <c r="D15" s="321"/>
      <c r="E15" s="321"/>
      <c r="F15" s="321"/>
      <c r="G15" s="321"/>
      <c r="H15" s="321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</row>
    <row r="16" spans="1:52" ht="27.75" customHeight="1" x14ac:dyDescent="0.25">
      <c r="A16" s="322" t="s">
        <v>178</v>
      </c>
      <c r="B16" s="322"/>
      <c r="C16" s="322"/>
      <c r="D16" s="322"/>
      <c r="E16" s="322"/>
      <c r="F16" s="322"/>
      <c r="G16" s="322"/>
      <c r="H16" s="32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</row>
    <row r="17" spans="1:52" x14ac:dyDescent="0.25">
      <c r="A17" s="191"/>
      <c r="B17" s="191"/>
      <c r="C17" s="191"/>
      <c r="D17" s="191"/>
      <c r="E17" s="191"/>
      <c r="F17" s="191"/>
      <c r="G17" s="191"/>
      <c r="H17" s="191"/>
      <c r="K17" s="203" t="s">
        <v>162</v>
      </c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</row>
    <row r="18" spans="1:52" x14ac:dyDescent="0.25">
      <c r="A18" s="308" t="s">
        <v>163</v>
      </c>
      <c r="B18" s="308"/>
      <c r="C18" s="308"/>
      <c r="D18" s="308"/>
      <c r="E18" s="308"/>
      <c r="F18" s="308"/>
      <c r="G18" s="308"/>
      <c r="H18" s="308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</row>
    <row r="19" spans="1:52" ht="4.9000000000000004" customHeight="1" x14ac:dyDescent="0.25"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</row>
    <row r="20" spans="1:52" ht="5.0999999999999996" customHeight="1" x14ac:dyDescent="0.25"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</row>
    <row r="21" spans="1:52" ht="11.1" customHeight="1" x14ac:dyDescent="0.25">
      <c r="A21" s="312" t="s">
        <v>140</v>
      </c>
      <c r="B21" s="312" t="s">
        <v>139</v>
      </c>
      <c r="C21" s="312" t="s">
        <v>50</v>
      </c>
      <c r="D21" s="314" t="s">
        <v>138</v>
      </c>
      <c r="E21" s="315"/>
      <c r="F21" s="315"/>
      <c r="G21" s="316"/>
      <c r="H21" s="312" t="s">
        <v>137</v>
      </c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</row>
    <row r="22" spans="1:52" ht="54.95" customHeight="1" thickBot="1" x14ac:dyDescent="0.3">
      <c r="A22" s="313"/>
      <c r="B22" s="313"/>
      <c r="C22" s="313"/>
      <c r="D22" s="190" t="s">
        <v>5</v>
      </c>
      <c r="E22" s="190" t="s">
        <v>6</v>
      </c>
      <c r="F22" s="190" t="s">
        <v>136</v>
      </c>
      <c r="G22" s="190" t="s">
        <v>8</v>
      </c>
      <c r="H22" s="313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</row>
    <row r="23" spans="1:52" ht="11.25" thickTop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</row>
    <row r="24" spans="1:52" x14ac:dyDescent="0.25">
      <c r="A24" s="186"/>
      <c r="B24" s="186"/>
      <c r="C24" s="186"/>
      <c r="D24" s="186"/>
      <c r="E24" s="186"/>
      <c r="F24" s="186"/>
      <c r="G24" s="186"/>
      <c r="H24" s="186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</row>
    <row r="25" spans="1:52" hidden="1" x14ac:dyDescent="0.25">
      <c r="A25" s="186"/>
      <c r="B25" s="180" t="s">
        <v>135</v>
      </c>
      <c r="C25" s="180" t="s">
        <v>134</v>
      </c>
      <c r="D25" s="188"/>
      <c r="E25" s="188"/>
      <c r="F25" s="188"/>
      <c r="G25" s="188"/>
      <c r="H25" s="188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</row>
    <row r="26" spans="1:52" ht="31.5" hidden="1" x14ac:dyDescent="0.25">
      <c r="A26" s="186"/>
      <c r="B26" s="180" t="s">
        <v>133</v>
      </c>
      <c r="C26" s="180" t="s">
        <v>132</v>
      </c>
      <c r="D26" s="176"/>
      <c r="E26" s="176"/>
      <c r="F26" s="176"/>
      <c r="G26" s="187">
        <v>0</v>
      </c>
      <c r="H26" s="176">
        <v>0</v>
      </c>
      <c r="I26" s="292">
        <v>3.91</v>
      </c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2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</row>
    <row r="27" spans="1:52" hidden="1" x14ac:dyDescent="0.25">
      <c r="A27" s="186"/>
      <c r="B27" s="180" t="s">
        <v>131</v>
      </c>
      <c r="C27" s="180" t="s">
        <v>130</v>
      </c>
      <c r="D27" s="176"/>
      <c r="E27" s="176"/>
      <c r="F27" s="176"/>
      <c r="G27" s="187">
        <v>0</v>
      </c>
      <c r="H27" s="176">
        <v>0</v>
      </c>
      <c r="I27" s="292">
        <v>3.83</v>
      </c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</row>
    <row r="28" spans="1:52" hidden="1" x14ac:dyDescent="0.25">
      <c r="A28" s="186"/>
      <c r="B28" s="180"/>
      <c r="C28" s="180" t="s">
        <v>129</v>
      </c>
      <c r="D28" s="176"/>
      <c r="E28" s="176"/>
      <c r="F28" s="176"/>
      <c r="G28" s="176">
        <v>0</v>
      </c>
      <c r="H28" s="176">
        <v>0</v>
      </c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</row>
    <row r="29" spans="1:52" hidden="1" x14ac:dyDescent="0.25">
      <c r="D29" s="176"/>
      <c r="E29" s="176"/>
      <c r="F29" s="176"/>
      <c r="G29" s="176"/>
      <c r="H29" s="176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</row>
    <row r="30" spans="1:52" x14ac:dyDescent="0.25">
      <c r="B30" s="175" t="s">
        <v>128</v>
      </c>
      <c r="C30" s="175" t="s">
        <v>127</v>
      </c>
      <c r="D30" s="176"/>
      <c r="E30" s="176"/>
      <c r="F30" s="176"/>
      <c r="G30" s="176"/>
      <c r="H30" s="176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</row>
    <row r="31" spans="1:52" x14ac:dyDescent="0.25">
      <c r="A31" s="185">
        <v>1</v>
      </c>
      <c r="B31" s="184">
        <v>1</v>
      </c>
      <c r="C31" s="184" t="s">
        <v>177</v>
      </c>
      <c r="D31" s="185">
        <v>107.46899999999999</v>
      </c>
      <c r="E31" s="185">
        <v>283.52199999999999</v>
      </c>
      <c r="F31" s="185"/>
      <c r="G31" s="185"/>
      <c r="H31" s="176">
        <v>390.99099999999999</v>
      </c>
      <c r="I31" s="292">
        <v>2.5</v>
      </c>
      <c r="J31" s="292">
        <v>3.19</v>
      </c>
      <c r="K31" s="177">
        <v>2.6869999999999998</v>
      </c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</row>
    <row r="32" spans="1:52" x14ac:dyDescent="0.25">
      <c r="A32" s="185"/>
      <c r="B32" s="184"/>
      <c r="C32" s="184"/>
      <c r="D32" s="185"/>
      <c r="E32" s="185"/>
      <c r="F32" s="185"/>
      <c r="G32" s="185"/>
      <c r="H32" s="176">
        <v>0</v>
      </c>
      <c r="I32" s="292">
        <v>2</v>
      </c>
      <c r="J32" s="292">
        <v>3.19</v>
      </c>
      <c r="K32" s="177">
        <v>0</v>
      </c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</row>
    <row r="33" spans="1:52" x14ac:dyDescent="0.25">
      <c r="A33" s="185"/>
      <c r="B33" s="184"/>
      <c r="C33" s="184"/>
      <c r="D33" s="185"/>
      <c r="E33" s="185"/>
      <c r="F33" s="185"/>
      <c r="G33" s="185"/>
      <c r="H33" s="176">
        <v>0</v>
      </c>
      <c r="I33" s="292">
        <v>2</v>
      </c>
      <c r="J33" s="292">
        <v>3.19</v>
      </c>
      <c r="K33" s="177">
        <v>0</v>
      </c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</row>
    <row r="34" spans="1:52" x14ac:dyDescent="0.25">
      <c r="A34" s="185"/>
      <c r="B34" s="184"/>
      <c r="C34" s="184"/>
      <c r="D34" s="183"/>
      <c r="E34" s="183"/>
      <c r="F34" s="183"/>
      <c r="G34" s="183"/>
      <c r="H34" s="176">
        <v>0</v>
      </c>
      <c r="I34" s="292">
        <v>2</v>
      </c>
      <c r="J34" s="292">
        <v>3.19</v>
      </c>
      <c r="K34" s="177">
        <v>0</v>
      </c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</row>
    <row r="35" spans="1:52" x14ac:dyDescent="0.25">
      <c r="B35" s="175"/>
      <c r="C35" s="175" t="s">
        <v>126</v>
      </c>
      <c r="D35" s="176">
        <v>107.46899999999999</v>
      </c>
      <c r="E35" s="176">
        <v>283.52199999999999</v>
      </c>
      <c r="F35" s="176">
        <v>0</v>
      </c>
      <c r="G35" s="176">
        <v>0</v>
      </c>
      <c r="H35" s="176">
        <v>390.99099999999999</v>
      </c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</row>
    <row r="36" spans="1:52" x14ac:dyDescent="0.25">
      <c r="B36" s="175"/>
      <c r="C36" s="175" t="s">
        <v>125</v>
      </c>
      <c r="D36" s="176">
        <v>107.46899999999999</v>
      </c>
      <c r="E36" s="176">
        <v>283.52199999999999</v>
      </c>
      <c r="F36" s="176">
        <v>0</v>
      </c>
      <c r="G36" s="176">
        <v>0</v>
      </c>
      <c r="H36" s="176">
        <v>390.99099999999999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</row>
    <row r="37" spans="1:52" x14ac:dyDescent="0.15">
      <c r="D37" s="177"/>
      <c r="E37" s="177"/>
      <c r="F37" s="177"/>
      <c r="G37" s="177"/>
      <c r="H37" s="177"/>
      <c r="K37" s="18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</row>
    <row r="38" spans="1:52" x14ac:dyDescent="0.15">
      <c r="B38" s="175" t="s">
        <v>124</v>
      </c>
      <c r="C38" s="175" t="s">
        <v>123</v>
      </c>
      <c r="D38" s="177"/>
      <c r="E38" s="177"/>
      <c r="F38" s="177"/>
      <c r="G38" s="177"/>
      <c r="H38" s="177"/>
      <c r="K38" s="18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</row>
    <row r="39" spans="1:52" ht="21" x14ac:dyDescent="0.15">
      <c r="B39" s="175" t="s">
        <v>55</v>
      </c>
      <c r="C39" s="175" t="s">
        <v>122</v>
      </c>
      <c r="D39" s="176">
        <v>2.6869999999999998</v>
      </c>
      <c r="E39" s="176">
        <v>7.0880000000000001</v>
      </c>
      <c r="F39" s="176"/>
      <c r="G39" s="176"/>
      <c r="H39" s="176">
        <v>9.7750000000000004</v>
      </c>
      <c r="K39" s="181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</row>
    <row r="40" spans="1:52" x14ac:dyDescent="0.25">
      <c r="B40" s="175"/>
      <c r="C40" s="175" t="s">
        <v>121</v>
      </c>
      <c r="D40" s="176">
        <v>2.6869999999999998</v>
      </c>
      <c r="E40" s="176">
        <v>7.0880000000000001</v>
      </c>
      <c r="F40" s="176"/>
      <c r="G40" s="176"/>
      <c r="H40" s="176">
        <v>9.7750000000000004</v>
      </c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</row>
    <row r="41" spans="1:52" x14ac:dyDescent="0.25">
      <c r="B41" s="175"/>
      <c r="C41" s="175" t="s">
        <v>120</v>
      </c>
      <c r="D41" s="176">
        <v>110.15600000000001</v>
      </c>
      <c r="E41" s="176">
        <v>290.61</v>
      </c>
      <c r="F41" s="176">
        <v>0</v>
      </c>
      <c r="G41" s="176">
        <v>0</v>
      </c>
      <c r="H41" s="176">
        <v>400.76600000000002</v>
      </c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</row>
    <row r="42" spans="1:52" x14ac:dyDescent="0.25">
      <c r="B42" s="175"/>
      <c r="C42" s="175" t="s">
        <v>119</v>
      </c>
      <c r="D42" s="176">
        <v>110.15600000000001</v>
      </c>
      <c r="E42" s="176">
        <v>290.61</v>
      </c>
      <c r="F42" s="176"/>
      <c r="G42" s="176"/>
      <c r="H42" s="176">
        <v>400.76600000000002</v>
      </c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</row>
    <row r="43" spans="1:52" x14ac:dyDescent="0.25">
      <c r="D43" s="176"/>
      <c r="E43" s="176"/>
      <c r="F43" s="177"/>
      <c r="G43" s="177"/>
      <c r="H43" s="176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</row>
    <row r="44" spans="1:52" x14ac:dyDescent="0.25">
      <c r="B44" s="175" t="s">
        <v>118</v>
      </c>
      <c r="C44" s="175" t="s">
        <v>117</v>
      </c>
      <c r="D44" s="176"/>
      <c r="E44" s="176"/>
      <c r="F44" s="177"/>
      <c r="G44" s="177"/>
      <c r="H44" s="176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</row>
    <row r="45" spans="1:52" ht="21" x14ac:dyDescent="0.25">
      <c r="B45" s="175" t="s">
        <v>161</v>
      </c>
      <c r="C45" s="175" t="s">
        <v>116</v>
      </c>
      <c r="D45" s="176">
        <v>3.5139999999999998</v>
      </c>
      <c r="E45" s="176">
        <v>9.27</v>
      </c>
      <c r="F45" s="176"/>
      <c r="G45" s="176"/>
      <c r="H45" s="176">
        <v>12.784000000000001</v>
      </c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</row>
    <row r="46" spans="1:52" ht="34.5" customHeight="1" x14ac:dyDescent="0.25">
      <c r="B46" s="175" t="s">
        <v>115</v>
      </c>
      <c r="C46" s="179" t="s">
        <v>114</v>
      </c>
      <c r="D46" s="176"/>
      <c r="E46" s="176"/>
      <c r="F46" s="176"/>
      <c r="G46" s="176">
        <v>10.545999999999999</v>
      </c>
      <c r="H46" s="176">
        <v>10.545999999999999</v>
      </c>
      <c r="I46" s="292">
        <v>2.5499999999999998</v>
      </c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</row>
    <row r="47" spans="1:52" ht="31.5" x14ac:dyDescent="0.25">
      <c r="B47" s="180" t="s">
        <v>113</v>
      </c>
      <c r="C47" s="175" t="s">
        <v>112</v>
      </c>
      <c r="D47" s="188"/>
      <c r="E47" s="188"/>
      <c r="F47" s="188"/>
      <c r="G47" s="202">
        <v>0</v>
      </c>
      <c r="H47" s="176">
        <v>0</v>
      </c>
      <c r="I47" s="292">
        <v>1</v>
      </c>
      <c r="K47" s="177">
        <v>0</v>
      </c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</row>
    <row r="48" spans="1:52" x14ac:dyDescent="0.25">
      <c r="B48" s="175"/>
      <c r="C48" s="175" t="s">
        <v>111</v>
      </c>
      <c r="D48" s="176">
        <v>3.5139999999999998</v>
      </c>
      <c r="E48" s="176">
        <v>9.27</v>
      </c>
      <c r="F48" s="176">
        <v>0</v>
      </c>
      <c r="G48" s="176">
        <v>10.545999999999999</v>
      </c>
      <c r="H48" s="176">
        <v>23.33</v>
      </c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</row>
    <row r="49" spans="1:52" x14ac:dyDescent="0.25">
      <c r="B49" s="175"/>
      <c r="C49" s="175" t="s">
        <v>110</v>
      </c>
      <c r="D49" s="176">
        <v>113.67</v>
      </c>
      <c r="E49" s="176">
        <v>299.88</v>
      </c>
      <c r="F49" s="176">
        <v>0</v>
      </c>
      <c r="G49" s="176">
        <v>10.545999999999999</v>
      </c>
      <c r="H49" s="176">
        <v>424.096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</row>
    <row r="50" spans="1:52" x14ac:dyDescent="0.25">
      <c r="D50" s="177"/>
      <c r="E50" s="177"/>
      <c r="F50" s="177"/>
      <c r="G50" s="177"/>
      <c r="H50" s="177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</row>
    <row r="51" spans="1:52" x14ac:dyDescent="0.25">
      <c r="B51" s="175" t="s">
        <v>109</v>
      </c>
      <c r="C51" s="175" t="s">
        <v>108</v>
      </c>
      <c r="D51" s="177"/>
      <c r="E51" s="177"/>
      <c r="F51" s="177"/>
      <c r="G51" s="177"/>
      <c r="H51" s="177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</row>
    <row r="52" spans="1:52" ht="31.5" x14ac:dyDescent="0.25">
      <c r="B52" s="175" t="s">
        <v>148</v>
      </c>
      <c r="C52" s="179" t="s">
        <v>107</v>
      </c>
      <c r="D52" s="176"/>
      <c r="E52" s="176"/>
      <c r="F52" s="176"/>
      <c r="G52" s="176">
        <v>9.0760000000000005</v>
      </c>
      <c r="H52" s="176">
        <v>9.0760000000000005</v>
      </c>
      <c r="I52" s="292">
        <v>2.14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</row>
    <row r="53" spans="1:52" ht="31.5" x14ac:dyDescent="0.25">
      <c r="B53" s="175" t="s">
        <v>148</v>
      </c>
      <c r="C53" s="179" t="s">
        <v>106</v>
      </c>
      <c r="D53" s="176"/>
      <c r="E53" s="176"/>
      <c r="F53" s="176"/>
      <c r="G53" s="176">
        <v>15.819000000000001</v>
      </c>
      <c r="H53" s="176">
        <v>15.819000000000001</v>
      </c>
      <c r="I53" s="292">
        <v>3.73</v>
      </c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</row>
    <row r="54" spans="1:52" x14ac:dyDescent="0.25">
      <c r="B54" s="175"/>
      <c r="C54" s="175" t="s">
        <v>105</v>
      </c>
      <c r="D54" s="176"/>
      <c r="E54" s="176"/>
      <c r="F54" s="176"/>
      <c r="G54" s="176">
        <v>24.895</v>
      </c>
      <c r="H54" s="176">
        <v>24.895</v>
      </c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</row>
    <row r="55" spans="1:52" x14ac:dyDescent="0.25">
      <c r="D55" s="177"/>
      <c r="E55" s="177"/>
      <c r="F55" s="177"/>
      <c r="G55" s="177"/>
      <c r="H55" s="177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</row>
    <row r="56" spans="1:52" ht="11.25" thickBot="1" x14ac:dyDescent="0.3">
      <c r="B56" s="175" t="s">
        <v>104</v>
      </c>
      <c r="C56" s="175" t="s">
        <v>103</v>
      </c>
      <c r="D56" s="177"/>
      <c r="E56" s="177"/>
      <c r="F56" s="177"/>
      <c r="G56" s="177"/>
      <c r="H56" s="177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</row>
    <row r="57" spans="1:52" ht="11.25" thickBot="1" x14ac:dyDescent="0.3">
      <c r="B57" s="175" t="s">
        <v>102</v>
      </c>
      <c r="C57" s="175" t="s">
        <v>101</v>
      </c>
      <c r="D57" s="176"/>
      <c r="E57" s="176"/>
      <c r="F57" s="176"/>
      <c r="G57" s="201">
        <v>28.867000000000001</v>
      </c>
      <c r="H57" s="176">
        <f>G57</f>
        <v>28.867000000000001</v>
      </c>
      <c r="I57" s="292">
        <v>3.83</v>
      </c>
      <c r="J57" s="178" t="s">
        <v>176</v>
      </c>
      <c r="K57" s="177">
        <v>0</v>
      </c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</row>
    <row r="58" spans="1:52" x14ac:dyDescent="0.25">
      <c r="B58" s="175"/>
      <c r="C58" s="175" t="s">
        <v>100</v>
      </c>
      <c r="D58" s="176"/>
      <c r="E58" s="176"/>
      <c r="F58" s="176"/>
      <c r="G58" s="201"/>
      <c r="H58" s="176">
        <v>0</v>
      </c>
      <c r="I58" s="292">
        <v>3.91</v>
      </c>
      <c r="K58" s="177">
        <v>0</v>
      </c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</row>
    <row r="59" spans="1:52" x14ac:dyDescent="0.25">
      <c r="B59" s="175"/>
      <c r="C59" s="175" t="s">
        <v>99</v>
      </c>
      <c r="D59" s="176"/>
      <c r="E59" s="176"/>
      <c r="F59" s="176"/>
      <c r="G59" s="176">
        <f>G57</f>
        <v>28.867000000000001</v>
      </c>
      <c r="H59" s="176">
        <f>H57</f>
        <v>28.867000000000001</v>
      </c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</row>
    <row r="60" spans="1:52" x14ac:dyDescent="0.25">
      <c r="B60" s="175"/>
      <c r="C60" s="175" t="s">
        <v>98</v>
      </c>
      <c r="D60" s="176">
        <v>113.67</v>
      </c>
      <c r="E60" s="176">
        <v>299.88</v>
      </c>
      <c r="F60" s="176">
        <v>0</v>
      </c>
      <c r="G60" s="176">
        <f>35.441+G59</f>
        <v>64.308000000000007</v>
      </c>
      <c r="H60" s="176">
        <f>448.991+G59</f>
        <v>477.858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</row>
    <row r="61" spans="1:52" x14ac:dyDescent="0.25">
      <c r="B61" s="175" t="s">
        <v>97</v>
      </c>
      <c r="C61" s="175" t="s">
        <v>96</v>
      </c>
      <c r="D61" s="176">
        <v>3.41</v>
      </c>
      <c r="E61" s="176">
        <v>8.9960000000000004</v>
      </c>
      <c r="F61" s="176">
        <v>0</v>
      </c>
      <c r="G61" s="176">
        <v>1.0629999999999999</v>
      </c>
      <c r="H61" s="176">
        <v>13.468999999999999</v>
      </c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</row>
    <row r="62" spans="1:52" x14ac:dyDescent="0.25">
      <c r="B62" s="175"/>
      <c r="C62" s="175" t="s">
        <v>95</v>
      </c>
      <c r="D62" s="176">
        <v>117.08</v>
      </c>
      <c r="E62" s="176">
        <v>308.87599999999998</v>
      </c>
      <c r="F62" s="176">
        <v>0</v>
      </c>
      <c r="G62" s="176">
        <f>36.504+G57</f>
        <v>65.370999999999995</v>
      </c>
      <c r="H62" s="176">
        <f>462.46+G59</f>
        <v>491.327</v>
      </c>
      <c r="I62" s="292">
        <v>425.95600000000002</v>
      </c>
      <c r="J62" s="292">
        <v>9.0760000000000005</v>
      </c>
      <c r="K62" s="292">
        <v>15.819000000000001</v>
      </c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</row>
    <row r="63" spans="1:52" x14ac:dyDescent="0.25"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</row>
    <row r="64" spans="1:52" x14ac:dyDescent="0.25">
      <c r="A64" s="311" t="s">
        <v>94</v>
      </c>
      <c r="B64" s="311"/>
      <c r="C64" s="308"/>
      <c r="D64" s="308"/>
      <c r="E64" s="308"/>
      <c r="F64" s="308"/>
      <c r="G64" s="308"/>
      <c r="H64" s="308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</row>
    <row r="65" spans="1:52" x14ac:dyDescent="0.25">
      <c r="C65" s="310" t="s">
        <v>88</v>
      </c>
      <c r="D65" s="310"/>
      <c r="E65" s="310"/>
      <c r="F65" s="310"/>
      <c r="G65" s="310"/>
      <c r="H65" s="310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</row>
    <row r="66" spans="1:52" x14ac:dyDescent="0.25"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</row>
    <row r="67" spans="1:52" ht="11.25" thickBot="1" x14ac:dyDescent="0.3">
      <c r="A67" s="307" t="s">
        <v>93</v>
      </c>
      <c r="B67" s="307"/>
      <c r="C67" s="306" t="s">
        <v>92</v>
      </c>
      <c r="D67" s="305" t="s">
        <v>91</v>
      </c>
      <c r="E67" s="308" t="s">
        <v>90</v>
      </c>
      <c r="F67" s="308"/>
      <c r="G67" s="308"/>
      <c r="H67" s="308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</row>
    <row r="68" spans="1:52" ht="11.25" thickBot="1" x14ac:dyDescent="0.3">
      <c r="C68" s="174" t="s">
        <v>89</v>
      </c>
      <c r="E68" s="310" t="s">
        <v>88</v>
      </c>
      <c r="F68" s="310"/>
      <c r="G68" s="310"/>
      <c r="H68" s="310"/>
      <c r="J68" s="290">
        <v>117.08</v>
      </c>
      <c r="K68" s="291">
        <v>308.87599999999998</v>
      </c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</row>
    <row r="69" spans="1:52" x14ac:dyDescent="0.25">
      <c r="H69" s="173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</row>
    <row r="70" spans="1:52" x14ac:dyDescent="0.25">
      <c r="A70" s="307" t="s">
        <v>87</v>
      </c>
      <c r="B70" s="307"/>
      <c r="C70" s="308" t="s">
        <v>86</v>
      </c>
      <c r="D70" s="308"/>
      <c r="E70" s="308"/>
      <c r="F70" s="308"/>
      <c r="G70" s="308"/>
      <c r="H70" s="308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</row>
    <row r="71" spans="1:52" ht="14.25" customHeight="1" x14ac:dyDescent="0.25">
      <c r="C71" s="310" t="s">
        <v>85</v>
      </c>
      <c r="D71" s="310"/>
      <c r="E71" s="310"/>
      <c r="F71" s="310"/>
      <c r="G71" s="310"/>
      <c r="H71" s="310"/>
      <c r="I71" s="173" t="s">
        <v>164</v>
      </c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</row>
    <row r="72" spans="1:52" x14ac:dyDescent="0.25"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</row>
    <row r="73" spans="1:52" x14ac:dyDescent="0.25">
      <c r="L73" s="172"/>
      <c r="M73" s="172"/>
      <c r="N73" s="172"/>
      <c r="O73" s="172"/>
      <c r="P73" s="172"/>
      <c r="Q73" s="172"/>
      <c r="R73" s="172"/>
      <c r="S73" s="172"/>
      <c r="T73" s="172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</row>
    <row r="74" spans="1:52" x14ac:dyDescent="0.25"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</row>
    <row r="75" spans="1:52" x14ac:dyDescent="0.25">
      <c r="L75" s="172"/>
      <c r="M75" s="172"/>
      <c r="N75" s="172"/>
      <c r="O75" s="172"/>
      <c r="P75" s="172"/>
      <c r="Q75" s="172"/>
      <c r="R75" s="172"/>
      <c r="S75" s="172"/>
      <c r="T75" s="172"/>
      <c r="U75" s="172"/>
      <c r="V75" s="172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</row>
    <row r="76" spans="1:52" x14ac:dyDescent="0.25"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</row>
    <row r="77" spans="1:52" x14ac:dyDescent="0.25">
      <c r="L77" s="172"/>
      <c r="M77" s="172"/>
      <c r="N77" s="172"/>
      <c r="O77" s="172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</row>
    <row r="78" spans="1:52" x14ac:dyDescent="0.25"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</row>
    <row r="79" spans="1:52" x14ac:dyDescent="0.25">
      <c r="L79" s="172"/>
      <c r="M79" s="172"/>
      <c r="N79" s="172"/>
      <c r="O79" s="172"/>
      <c r="P79" s="172"/>
      <c r="Q79" s="172"/>
      <c r="R79" s="172"/>
      <c r="S79" s="172"/>
      <c r="T79" s="172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</row>
    <row r="80" spans="1:52" x14ac:dyDescent="0.25">
      <c r="L80" s="172"/>
      <c r="M80" s="172"/>
      <c r="N80" s="172"/>
      <c r="O80" s="172"/>
      <c r="P80" s="172"/>
      <c r="Q80" s="172"/>
      <c r="R80" s="172"/>
      <c r="S80" s="172"/>
      <c r="T80" s="172"/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</row>
    <row r="81" spans="12:52" x14ac:dyDescent="0.25">
      <c r="L81" s="172"/>
      <c r="M81" s="172"/>
      <c r="N81" s="172"/>
      <c r="O81" s="172"/>
      <c r="P81" s="172"/>
      <c r="Q81" s="172"/>
      <c r="R81" s="172"/>
      <c r="S81" s="172"/>
      <c r="T81" s="172"/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</row>
    <row r="82" spans="12:52" x14ac:dyDescent="0.25">
      <c r="L82" s="172"/>
      <c r="M82" s="172"/>
      <c r="N82" s="172"/>
      <c r="O82" s="172"/>
      <c r="P82" s="172"/>
      <c r="Q82" s="172"/>
      <c r="R82" s="172"/>
      <c r="S82" s="172"/>
      <c r="T82" s="172"/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</row>
    <row r="83" spans="12:52" x14ac:dyDescent="0.25">
      <c r="L83" s="172"/>
      <c r="M83" s="172"/>
      <c r="N83" s="172"/>
      <c r="O83" s="172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</row>
    <row r="84" spans="12:52" x14ac:dyDescent="0.25"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</row>
    <row r="85" spans="12:52" x14ac:dyDescent="0.25"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</row>
    <row r="86" spans="12:52" x14ac:dyDescent="0.25">
      <c r="L86" s="172"/>
      <c r="M86" s="172"/>
      <c r="N86" s="172"/>
      <c r="O86" s="172"/>
      <c r="P86" s="172"/>
      <c r="Q86" s="172"/>
      <c r="R86" s="172"/>
      <c r="S86" s="172"/>
      <c r="T86" s="172"/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</row>
    <row r="87" spans="12:52" x14ac:dyDescent="0.25">
      <c r="L87" s="172"/>
      <c r="M87" s="172"/>
      <c r="N87" s="172"/>
      <c r="O87" s="172"/>
      <c r="P87" s="172"/>
      <c r="Q87" s="172"/>
      <c r="R87" s="172"/>
      <c r="S87" s="172"/>
      <c r="T87" s="172"/>
      <c r="U87" s="172"/>
      <c r="V87" s="172"/>
      <c r="W87" s="172"/>
      <c r="X87" s="172"/>
      <c r="Y87" s="172"/>
      <c r="Z87" s="172"/>
      <c r="AA87" s="172"/>
      <c r="AB87" s="172"/>
      <c r="AC87" s="172"/>
      <c r="AD87" s="172"/>
      <c r="AE87" s="172"/>
      <c r="AF87" s="172"/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</row>
    <row r="88" spans="12:52" x14ac:dyDescent="0.25"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</row>
    <row r="89" spans="12:52" x14ac:dyDescent="0.25"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Z89" s="172"/>
      <c r="AA89" s="172"/>
      <c r="AB89" s="172"/>
      <c r="AC89" s="172"/>
      <c r="AD89" s="172"/>
      <c r="AE89" s="172"/>
      <c r="AF89" s="172"/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</row>
    <row r="90" spans="12:52" x14ac:dyDescent="0.25"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</row>
    <row r="91" spans="12:52" x14ac:dyDescent="0.25">
      <c r="L91" s="172"/>
      <c r="M91" s="172"/>
      <c r="N91" s="172"/>
      <c r="O91" s="172"/>
      <c r="P91" s="172"/>
      <c r="Q91" s="172"/>
      <c r="R91" s="172"/>
      <c r="S91" s="172"/>
      <c r="T91" s="172"/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  <c r="AF91" s="172"/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</row>
    <row r="92" spans="12:52" x14ac:dyDescent="0.25"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</row>
    <row r="93" spans="12:52" x14ac:dyDescent="0.25"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</row>
    <row r="94" spans="12:52" x14ac:dyDescent="0.25">
      <c r="L94" s="172"/>
      <c r="M94" s="172"/>
      <c r="N94" s="172"/>
      <c r="O94" s="172"/>
      <c r="P94" s="172"/>
      <c r="Q94" s="172"/>
      <c r="R94" s="172"/>
      <c r="S94" s="172"/>
      <c r="T94" s="172"/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</row>
    <row r="95" spans="12:52" x14ac:dyDescent="0.25"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</row>
    <row r="96" spans="12:52" x14ac:dyDescent="0.25"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</row>
    <row r="97" spans="12:52" x14ac:dyDescent="0.25"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</row>
    <row r="98" spans="12:52" x14ac:dyDescent="0.25">
      <c r="L98" s="172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</row>
    <row r="99" spans="12:52" x14ac:dyDescent="0.25">
      <c r="L99" s="172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  <c r="AF99" s="172"/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</row>
    <row r="100" spans="12:52" x14ac:dyDescent="0.25">
      <c r="L100" s="172"/>
      <c r="M100" s="172"/>
      <c r="N100" s="172"/>
      <c r="O100" s="172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/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</row>
  </sheetData>
  <dataConsolidate/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scale="94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"/>
  <sheetViews>
    <sheetView view="pageBreakPreview" topLeftCell="A13" zoomScale="80" zoomScaleNormal="100" zoomScaleSheetLayoutView="80" workbookViewId="0">
      <selection activeCell="R43" sqref="R43"/>
    </sheetView>
  </sheetViews>
  <sheetFormatPr defaultRowHeight="12.75" x14ac:dyDescent="0.2"/>
  <cols>
    <col min="1" max="1" width="5" style="1" customWidth="1"/>
    <col min="2" max="2" width="24.140625" style="1" customWidth="1"/>
    <col min="3" max="3" width="59.1406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customWidth="1"/>
    <col min="21" max="21" width="10.28515625" style="1" customWidth="1"/>
    <col min="22" max="22" width="13" style="1" customWidth="1"/>
    <col min="23" max="23" width="12.7109375" style="1" bestFit="1" customWidth="1"/>
    <col min="24" max="24" width="11.42578125" style="1" customWidth="1"/>
    <col min="25" max="25" width="12.140625" style="1" customWidth="1"/>
    <col min="26" max="26" width="10.7109375" style="1" customWidth="1"/>
    <col min="27" max="29" width="11.140625" style="1" customWidth="1"/>
    <col min="30" max="30" width="13.85546875" style="1" customWidth="1"/>
    <col min="31" max="31" width="11.42578125" style="1" customWidth="1"/>
    <col min="32" max="32" width="12.140625" style="1" customWidth="1"/>
    <col min="33" max="33" width="13.7109375" style="1" customWidth="1"/>
    <col min="34" max="34" width="11.7109375" style="1" customWidth="1"/>
    <col min="35" max="35" width="13.7109375" style="1" customWidth="1"/>
    <col min="36" max="36" width="10" style="1" customWidth="1"/>
    <col min="37" max="37" width="12.140625" style="1" customWidth="1"/>
    <col min="38" max="38" width="12" style="1" customWidth="1"/>
    <col min="39" max="39" width="10.7109375" style="1" customWidth="1"/>
    <col min="40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28" t="s">
        <v>0</v>
      </c>
      <c r="O1" s="329"/>
      <c r="P1" s="329"/>
      <c r="Q1" s="329"/>
      <c r="R1" s="329"/>
    </row>
    <row r="2" spans="1:20" ht="24" customHeight="1" x14ac:dyDescent="0.2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0" t="s">
        <v>156</v>
      </c>
      <c r="O2" s="330"/>
      <c r="P2" s="330"/>
      <c r="Q2" s="330"/>
      <c r="R2" s="330"/>
    </row>
    <row r="3" spans="1:20" ht="14.25" customHeight="1" x14ac:dyDescent="0.2">
      <c r="A3" s="335"/>
      <c r="B3" s="336"/>
      <c r="C3" s="337"/>
      <c r="D3" s="338"/>
      <c r="E3" s="338"/>
      <c r="F3" s="338"/>
      <c r="G3" s="338"/>
      <c r="H3" s="338"/>
      <c r="I3" s="2"/>
      <c r="J3" s="2"/>
      <c r="K3" s="2"/>
      <c r="L3" s="2"/>
      <c r="M3" s="2"/>
      <c r="N3" s="330"/>
      <c r="O3" s="330"/>
      <c r="P3" s="330"/>
      <c r="Q3" s="330"/>
      <c r="R3" s="330"/>
    </row>
    <row r="4" spans="1:20" ht="22.5" customHeight="1" x14ac:dyDescent="0.2">
      <c r="A4" s="335"/>
      <c r="B4" s="336"/>
      <c r="C4" s="339"/>
      <c r="D4" s="340"/>
      <c r="E4" s="340"/>
      <c r="F4" s="340"/>
      <c r="G4" s="340"/>
      <c r="H4" s="340"/>
      <c r="I4" s="3"/>
      <c r="J4" s="3"/>
      <c r="K4" s="3"/>
      <c r="L4" s="3"/>
      <c r="M4" s="3"/>
      <c r="N4" s="330"/>
      <c r="O4" s="330"/>
      <c r="P4" s="330"/>
      <c r="Q4" s="330"/>
      <c r="R4" s="330"/>
    </row>
    <row r="5" spans="1:20" ht="30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331" t="s">
        <v>157</v>
      </c>
      <c r="O5" s="332"/>
      <c r="P5" s="332"/>
      <c r="Q5" s="332"/>
      <c r="R5" s="332"/>
      <c r="S5" s="20"/>
    </row>
    <row r="6" spans="1:20" ht="15" customHeight="1" x14ac:dyDescent="0.2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03"/>
      <c r="S6" s="21"/>
    </row>
    <row r="7" spans="1:20" ht="18" customHeight="1" x14ac:dyDescent="0.25">
      <c r="A7" s="324" t="s">
        <v>175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21"/>
    </row>
    <row r="8" spans="1:20" ht="13.5" thickBot="1" x14ac:dyDescent="0.25">
      <c r="A8" s="333"/>
      <c r="B8" s="333"/>
      <c r="C8" s="333"/>
      <c r="D8" s="333"/>
      <c r="E8" s="333"/>
      <c r="F8" s="333"/>
      <c r="G8" s="333"/>
      <c r="H8" s="333"/>
      <c r="I8" s="7"/>
      <c r="J8" s="7"/>
      <c r="K8" s="7"/>
      <c r="L8" s="7"/>
      <c r="M8" s="7"/>
    </row>
    <row r="9" spans="1:20" ht="76.5" customHeight="1" x14ac:dyDescent="0.2">
      <c r="A9" s="341" t="s">
        <v>1</v>
      </c>
      <c r="B9" s="343" t="s">
        <v>2</v>
      </c>
      <c r="C9" s="345" t="s">
        <v>3</v>
      </c>
      <c r="D9" s="347" t="s">
        <v>150</v>
      </c>
      <c r="E9" s="348"/>
      <c r="F9" s="348"/>
      <c r="G9" s="348"/>
      <c r="H9" s="349"/>
      <c r="I9" s="362" t="s">
        <v>4</v>
      </c>
      <c r="J9" s="363"/>
      <c r="K9" s="363"/>
      <c r="L9" s="363"/>
      <c r="M9" s="364"/>
      <c r="N9" s="325" t="s">
        <v>155</v>
      </c>
      <c r="O9" s="326"/>
      <c r="P9" s="326"/>
      <c r="Q9" s="326"/>
      <c r="R9" s="327"/>
      <c r="S9" s="14"/>
      <c r="T9" s="13"/>
    </row>
    <row r="10" spans="1:20" ht="69" customHeight="1" x14ac:dyDescent="0.2">
      <c r="A10" s="342"/>
      <c r="B10" s="344"/>
      <c r="C10" s="346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367" t="s">
        <v>10</v>
      </c>
      <c r="B12" s="368"/>
      <c r="C12" s="369"/>
      <c r="D12" s="204"/>
      <c r="E12" s="205"/>
      <c r="F12" s="205"/>
      <c r="G12" s="205"/>
      <c r="H12" s="206"/>
      <c r="I12" s="204"/>
      <c r="J12" s="205"/>
      <c r="K12" s="205"/>
      <c r="L12" s="205"/>
      <c r="M12" s="206"/>
      <c r="N12" s="207"/>
      <c r="O12" s="208"/>
      <c r="P12" s="208"/>
      <c r="Q12" s="209"/>
      <c r="R12" s="165"/>
      <c r="S12" s="17"/>
    </row>
    <row r="13" spans="1:20" s="26" customFormat="1" ht="16.5" customHeight="1" x14ac:dyDescent="0.2">
      <c r="A13" s="43"/>
      <c r="B13" s="162"/>
      <c r="C13" s="163"/>
      <c r="D13" s="210"/>
      <c r="E13" s="211"/>
      <c r="F13" s="211"/>
      <c r="G13" s="211">
        <v>0</v>
      </c>
      <c r="H13" s="212">
        <f>G13</f>
        <v>0</v>
      </c>
      <c r="I13" s="210"/>
      <c r="J13" s="211"/>
      <c r="K13" s="211"/>
      <c r="L13" s="211">
        <v>0</v>
      </c>
      <c r="M13" s="212">
        <f>L13</f>
        <v>0</v>
      </c>
      <c r="N13" s="213"/>
      <c r="O13" s="214"/>
      <c r="P13" s="214"/>
      <c r="Q13" s="215">
        <f>L13*3.42</f>
        <v>0</v>
      </c>
      <c r="R13" s="216">
        <f>Q13</f>
        <v>0</v>
      </c>
      <c r="S13" s="30"/>
    </row>
    <row r="14" spans="1:20" s="26" customFormat="1" x14ac:dyDescent="0.2">
      <c r="A14" s="44"/>
      <c r="B14" s="45"/>
      <c r="C14" s="64" t="s">
        <v>12</v>
      </c>
      <c r="D14" s="210"/>
      <c r="E14" s="211"/>
      <c r="F14" s="211"/>
      <c r="G14" s="211">
        <f>G13</f>
        <v>0</v>
      </c>
      <c r="H14" s="212">
        <f>SUM(D14:G14)</f>
        <v>0</v>
      </c>
      <c r="I14" s="210"/>
      <c r="J14" s="211"/>
      <c r="K14" s="211"/>
      <c r="L14" s="211">
        <f>L13</f>
        <v>0</v>
      </c>
      <c r="M14" s="212">
        <f>M13</f>
        <v>0</v>
      </c>
      <c r="N14" s="217"/>
      <c r="O14" s="211"/>
      <c r="P14" s="211"/>
      <c r="Q14" s="211">
        <f>Q13</f>
        <v>0</v>
      </c>
      <c r="R14" s="212">
        <f>Q14</f>
        <v>0</v>
      </c>
      <c r="S14" s="31"/>
    </row>
    <row r="15" spans="1:20" s="26" customFormat="1" ht="15.75" customHeight="1" x14ac:dyDescent="0.2">
      <c r="A15" s="370" t="s">
        <v>13</v>
      </c>
      <c r="B15" s="371"/>
      <c r="C15" s="372"/>
      <c r="D15" s="218"/>
      <c r="E15" s="219"/>
      <c r="F15" s="219"/>
      <c r="G15" s="219"/>
      <c r="H15" s="220"/>
      <c r="I15" s="221"/>
      <c r="J15" s="219"/>
      <c r="K15" s="219"/>
      <c r="L15" s="219"/>
      <c r="M15" s="220"/>
      <c r="N15" s="222"/>
      <c r="O15" s="223"/>
      <c r="P15" s="223"/>
      <c r="Q15" s="223"/>
      <c r="R15" s="224"/>
      <c r="S15" s="32"/>
    </row>
    <row r="16" spans="1:20" s="26" customFormat="1" ht="17.25" customHeight="1" x14ac:dyDescent="0.2">
      <c r="A16" s="46">
        <v>1</v>
      </c>
      <c r="B16" s="166" t="s">
        <v>75</v>
      </c>
      <c r="C16" s="66" t="s">
        <v>173</v>
      </c>
      <c r="D16" s="160">
        <f>Текущие!D31</f>
        <v>107.46899999999999</v>
      </c>
      <c r="E16" s="225">
        <f>Текущие!E31</f>
        <v>283.52199999999999</v>
      </c>
      <c r="F16" s="225">
        <v>0</v>
      </c>
      <c r="G16" s="225"/>
      <c r="H16" s="226">
        <f>SUM(D16:G16)</f>
        <v>390.99099999999999</v>
      </c>
      <c r="I16" s="160">
        <f>Базовые!D31</f>
        <v>20.588000000000001</v>
      </c>
      <c r="J16" s="225">
        <f>Базовые!E31</f>
        <v>54.314999999999998</v>
      </c>
      <c r="K16" s="225">
        <v>0</v>
      </c>
      <c r="L16" s="225">
        <f>G16/8.36</f>
        <v>0</v>
      </c>
      <c r="M16" s="226">
        <f t="shared" ref="M16:M18" si="0">SUM(I16:L16)</f>
        <v>74.902999999999992</v>
      </c>
      <c r="N16" s="227">
        <f>I16*4.99</f>
        <v>102.73412</v>
      </c>
      <c r="O16" s="228">
        <f>J16*4.99</f>
        <v>271.03185000000002</v>
      </c>
      <c r="P16" s="228">
        <f>K16*3.82</f>
        <v>0</v>
      </c>
      <c r="Q16" s="228">
        <f>L16*7.53</f>
        <v>0</v>
      </c>
      <c r="R16" s="229">
        <f t="shared" ref="R16:R18" si="1">SUM(N16:Q16)</f>
        <v>373.76597000000004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30">
        <f>SUM(D16:D16)</f>
        <v>107.46899999999999</v>
      </c>
      <c r="E17" s="231">
        <f>SUM(E16:E16)</f>
        <v>283.52199999999999</v>
      </c>
      <c r="F17" s="231">
        <f>SUM(F16:F16)</f>
        <v>0</v>
      </c>
      <c r="G17" s="231">
        <f>SUM(G16:G16)</f>
        <v>0</v>
      </c>
      <c r="H17" s="232">
        <f>SUM(D17:G17)</f>
        <v>390.99099999999999</v>
      </c>
      <c r="I17" s="230">
        <f>SUM(I16:I16)</f>
        <v>20.588000000000001</v>
      </c>
      <c r="J17" s="231">
        <f>SUM(J16:J16)</f>
        <v>54.314999999999998</v>
      </c>
      <c r="K17" s="231">
        <f>SUM(K16:K16)</f>
        <v>0</v>
      </c>
      <c r="L17" s="231">
        <f>SUM(L16:L16)</f>
        <v>0</v>
      </c>
      <c r="M17" s="232">
        <f t="shared" si="0"/>
        <v>74.902999999999992</v>
      </c>
      <c r="N17" s="233">
        <f>SUM(N16:N16)</f>
        <v>102.73412</v>
      </c>
      <c r="O17" s="234">
        <f>SUM(O16:O16)</f>
        <v>271.03185000000002</v>
      </c>
      <c r="P17" s="234">
        <f>SUM(P16:P16)</f>
        <v>0</v>
      </c>
      <c r="Q17" s="234">
        <f>SUM(Q16:Q16)</f>
        <v>0</v>
      </c>
      <c r="R17" s="235">
        <f t="shared" si="1"/>
        <v>373.76597000000004</v>
      </c>
      <c r="S17" s="27"/>
    </row>
    <row r="18" spans="1:20" s="26" customFormat="1" x14ac:dyDescent="0.2">
      <c r="A18" s="47"/>
      <c r="B18" s="48"/>
      <c r="C18" s="68" t="s">
        <v>34</v>
      </c>
      <c r="D18" s="230">
        <f>D14+D17</f>
        <v>107.46899999999999</v>
      </c>
      <c r="E18" s="231">
        <f>E14+E17</f>
        <v>283.52199999999999</v>
      </c>
      <c r="F18" s="231">
        <f>F14+F17</f>
        <v>0</v>
      </c>
      <c r="G18" s="231">
        <f>G14+G17</f>
        <v>0</v>
      </c>
      <c r="H18" s="232">
        <f>SUM(D18:G18)</f>
        <v>390.99099999999999</v>
      </c>
      <c r="I18" s="230">
        <f>I14+I17</f>
        <v>20.588000000000001</v>
      </c>
      <c r="J18" s="231">
        <f>J14+J17</f>
        <v>54.314999999999998</v>
      </c>
      <c r="K18" s="231">
        <f>K14+K17</f>
        <v>0</v>
      </c>
      <c r="L18" s="231">
        <f>L14+L17</f>
        <v>0</v>
      </c>
      <c r="M18" s="232">
        <f t="shared" si="0"/>
        <v>74.902999999999992</v>
      </c>
      <c r="N18" s="233">
        <f>N14+N17</f>
        <v>102.73412</v>
      </c>
      <c r="O18" s="234">
        <f>O14+O17</f>
        <v>271.03185000000002</v>
      </c>
      <c r="P18" s="234">
        <f>P14+P17</f>
        <v>0</v>
      </c>
      <c r="Q18" s="234">
        <f>Q14+Q17</f>
        <v>0</v>
      </c>
      <c r="R18" s="235">
        <f t="shared" si="1"/>
        <v>373.76597000000004</v>
      </c>
      <c r="S18" s="27"/>
    </row>
    <row r="19" spans="1:20" s="26" customFormat="1" ht="15.75" customHeight="1" x14ac:dyDescent="0.2">
      <c r="A19" s="370" t="s">
        <v>16</v>
      </c>
      <c r="B19" s="371"/>
      <c r="C19" s="372"/>
      <c r="D19" s="221"/>
      <c r="E19" s="219"/>
      <c r="F19" s="219"/>
      <c r="G19" s="219"/>
      <c r="H19" s="220"/>
      <c r="I19" s="221"/>
      <c r="J19" s="219"/>
      <c r="K19" s="219"/>
      <c r="L19" s="219"/>
      <c r="M19" s="220"/>
      <c r="N19" s="236"/>
      <c r="O19" s="237"/>
      <c r="P19" s="237"/>
      <c r="Q19" s="237"/>
      <c r="R19" s="238"/>
      <c r="S19" s="28"/>
    </row>
    <row r="20" spans="1:20" s="26" customFormat="1" x14ac:dyDescent="0.2">
      <c r="A20" s="46">
        <v>2</v>
      </c>
      <c r="B20" s="167" t="s">
        <v>55</v>
      </c>
      <c r="C20" s="66" t="s">
        <v>48</v>
      </c>
      <c r="D20" s="239">
        <f>D18*2.5%</f>
        <v>2.686725</v>
      </c>
      <c r="E20" s="240">
        <f>E18*2.5%</f>
        <v>7.08805</v>
      </c>
      <c r="F20" s="240"/>
      <c r="G20" s="241"/>
      <c r="H20" s="242">
        <f>SUM(D20:G20)</f>
        <v>9.774775</v>
      </c>
      <c r="I20" s="239">
        <f>I18*2.5%</f>
        <v>0.51470000000000005</v>
      </c>
      <c r="J20" s="240">
        <f>J18*2.5%</f>
        <v>1.3578749999999999</v>
      </c>
      <c r="K20" s="241"/>
      <c r="L20" s="241"/>
      <c r="M20" s="242">
        <f t="shared" ref="M20" si="2">SUM(I20:L20)</f>
        <v>1.8725749999999999</v>
      </c>
      <c r="N20" s="243">
        <f>N18*2.5%</f>
        <v>2.5683530000000001</v>
      </c>
      <c r="O20" s="244">
        <f>O18*2.5%</f>
        <v>6.7757962500000009</v>
      </c>
      <c r="P20" s="245"/>
      <c r="Q20" s="245"/>
      <c r="R20" s="246">
        <f>SUM(N20:Q20)</f>
        <v>9.344149250000001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30">
        <f>SUM(D20:D20)</f>
        <v>2.686725</v>
      </c>
      <c r="E21" s="231">
        <f>SUM(E20:E20)</f>
        <v>7.08805</v>
      </c>
      <c r="F21" s="231">
        <f>SUM(F20:F20)</f>
        <v>0</v>
      </c>
      <c r="G21" s="231">
        <v>0</v>
      </c>
      <c r="H21" s="232">
        <f>SUM(D21:G21)</f>
        <v>9.774775</v>
      </c>
      <c r="I21" s="230">
        <f>SUM(I20:I20)</f>
        <v>0.51470000000000005</v>
      </c>
      <c r="J21" s="231">
        <f>SUM(J20:J20)</f>
        <v>1.3578749999999999</v>
      </c>
      <c r="K21" s="231">
        <f>SUM(K20:K20)</f>
        <v>0</v>
      </c>
      <c r="L21" s="231">
        <f>SUM(L20:L20)</f>
        <v>0</v>
      </c>
      <c r="M21" s="232">
        <f>SUM(I21:L21)</f>
        <v>1.8725749999999999</v>
      </c>
      <c r="N21" s="233">
        <f>SUM(N20:N20)</f>
        <v>2.5683530000000001</v>
      </c>
      <c r="O21" s="234">
        <f>SUM(O20:O20)</f>
        <v>6.7757962500000009</v>
      </c>
      <c r="P21" s="234">
        <f>SUM(P20:P20)</f>
        <v>0</v>
      </c>
      <c r="Q21" s="234"/>
      <c r="R21" s="235">
        <f>SUM(N21:Q21)</f>
        <v>9.344149250000001</v>
      </c>
      <c r="S21" s="27"/>
    </row>
    <row r="22" spans="1:20" s="26" customFormat="1" x14ac:dyDescent="0.2">
      <c r="A22" s="47"/>
      <c r="B22" s="48"/>
      <c r="C22" s="67" t="s">
        <v>18</v>
      </c>
      <c r="D22" s="230">
        <f>D14+D17+D21</f>
        <v>110.15572499999999</v>
      </c>
      <c r="E22" s="231">
        <f>E14+E17+E21</f>
        <v>290.61005</v>
      </c>
      <c r="F22" s="231">
        <f>F14+F17+F21</f>
        <v>0</v>
      </c>
      <c r="G22" s="231">
        <f>G14+G17+G21</f>
        <v>0</v>
      </c>
      <c r="H22" s="232">
        <f>SUM(D22:G22)</f>
        <v>400.76577499999996</v>
      </c>
      <c r="I22" s="230">
        <f>I14+I17+I21</f>
        <v>21.102700000000002</v>
      </c>
      <c r="J22" s="231">
        <f>J14+J17+J21</f>
        <v>55.672874999999998</v>
      </c>
      <c r="K22" s="231">
        <f>K14+K17+K21</f>
        <v>0</v>
      </c>
      <c r="L22" s="231">
        <f>L14+L17+L21</f>
        <v>0</v>
      </c>
      <c r="M22" s="232">
        <f>SUM(I22:L22)</f>
        <v>76.775575000000003</v>
      </c>
      <c r="N22" s="233">
        <f>N14+N17+N21</f>
        <v>105.30247300000001</v>
      </c>
      <c r="O22" s="234">
        <f>O14+O17+O21</f>
        <v>277.80764625</v>
      </c>
      <c r="P22" s="234">
        <f>P14+P17+P21</f>
        <v>0</v>
      </c>
      <c r="Q22" s="234">
        <f>Q18</f>
        <v>0</v>
      </c>
      <c r="R22" s="235">
        <f>SUM(N22:Q22)</f>
        <v>383.11011925000003</v>
      </c>
      <c r="S22" s="27"/>
    </row>
    <row r="23" spans="1:20" s="26" customFormat="1" ht="15.75" customHeight="1" x14ac:dyDescent="0.2">
      <c r="A23" s="370" t="s">
        <v>19</v>
      </c>
      <c r="B23" s="371"/>
      <c r="C23" s="372"/>
      <c r="D23" s="221"/>
      <c r="E23" s="219"/>
      <c r="F23" s="219"/>
      <c r="G23" s="219"/>
      <c r="H23" s="220"/>
      <c r="I23" s="221"/>
      <c r="J23" s="219"/>
      <c r="K23" s="219"/>
      <c r="L23" s="219"/>
      <c r="M23" s="220"/>
      <c r="N23" s="236"/>
      <c r="O23" s="237"/>
      <c r="P23" s="237"/>
      <c r="Q23" s="237"/>
      <c r="R23" s="238"/>
      <c r="S23" s="28"/>
    </row>
    <row r="24" spans="1:20" s="26" customFormat="1" ht="25.5" x14ac:dyDescent="0.2">
      <c r="A24" s="169">
        <v>3</v>
      </c>
      <c r="B24" s="168" t="s">
        <v>161</v>
      </c>
      <c r="C24" s="66" t="s">
        <v>47</v>
      </c>
      <c r="D24" s="239">
        <f>D22*3.19%</f>
        <v>3.5139676274999996</v>
      </c>
      <c r="E24" s="240">
        <f>E22*3.19%</f>
        <v>9.2704605949999994</v>
      </c>
      <c r="F24" s="240"/>
      <c r="G24" s="240"/>
      <c r="H24" s="247">
        <f>SUM(D24:G24)</f>
        <v>12.784428222499999</v>
      </c>
      <c r="I24" s="239">
        <f>I22*3.19%</f>
        <v>0.67317612999999998</v>
      </c>
      <c r="J24" s="240">
        <f>J22*3.19%</f>
        <v>1.7759647124999998</v>
      </c>
      <c r="K24" s="240"/>
      <c r="L24" s="240"/>
      <c r="M24" s="247">
        <f>SUM(I24:L24)</f>
        <v>2.4491408424999999</v>
      </c>
      <c r="N24" s="243">
        <f>N22*3.19%</f>
        <v>3.3591488887000001</v>
      </c>
      <c r="O24" s="244">
        <f>O22*3.19%</f>
        <v>8.8620639153749998</v>
      </c>
      <c r="P24" s="244"/>
      <c r="Q24" s="244"/>
      <c r="R24" s="248">
        <f>SUM(N24:Q24)</f>
        <v>12.221212804075</v>
      </c>
      <c r="S24" s="29"/>
    </row>
    <row r="25" spans="1:20" s="26" customFormat="1" ht="25.5" x14ac:dyDescent="0.2">
      <c r="A25" s="49">
        <v>4</v>
      </c>
      <c r="B25" s="168" t="s">
        <v>115</v>
      </c>
      <c r="C25" s="65" t="s">
        <v>66</v>
      </c>
      <c r="D25" s="239"/>
      <c r="E25" s="240"/>
      <c r="F25" s="240"/>
      <c r="G25" s="240">
        <f>(D22+E22+H24)*2.55%</f>
        <v>10.545530182173749</v>
      </c>
      <c r="H25" s="247">
        <f>SUM(D25:G25)</f>
        <v>10.545530182173749</v>
      </c>
      <c r="I25" s="239"/>
      <c r="J25" s="240"/>
      <c r="K25" s="240"/>
      <c r="L25" s="240">
        <f>(I22+J22+M24)*2.55%</f>
        <v>2.0202302539837498</v>
      </c>
      <c r="M25" s="247">
        <f t="shared" ref="M25" si="3">SUM(I25:L25)</f>
        <v>2.0202302539837498</v>
      </c>
      <c r="N25" s="249"/>
      <c r="O25" s="244"/>
      <c r="P25" s="244"/>
      <c r="Q25" s="244">
        <f>(N22+O22+R24)*2.55%</f>
        <v>10.080948967378912</v>
      </c>
      <c r="R25" s="250">
        <f>Q25</f>
        <v>10.080948967378912</v>
      </c>
      <c r="S25" s="29"/>
    </row>
    <row r="26" spans="1:20" s="26" customFormat="1" ht="25.5" x14ac:dyDescent="0.2">
      <c r="A26" s="49"/>
      <c r="B26" s="168" t="s">
        <v>113</v>
      </c>
      <c r="C26" s="65" t="s">
        <v>112</v>
      </c>
      <c r="D26" s="239"/>
      <c r="E26" s="240"/>
      <c r="F26" s="240"/>
      <c r="G26" s="240">
        <v>0</v>
      </c>
      <c r="H26" s="247">
        <f>SUM(D26:G26)</f>
        <v>0</v>
      </c>
      <c r="I26" s="239"/>
      <c r="J26" s="240"/>
      <c r="K26" s="240"/>
      <c r="L26" s="240">
        <v>0</v>
      </c>
      <c r="M26" s="247">
        <f>L26</f>
        <v>0</v>
      </c>
      <c r="N26" s="249"/>
      <c r="O26" s="244"/>
      <c r="P26" s="244"/>
      <c r="Q26" s="244">
        <f>L26*15.23</f>
        <v>0</v>
      </c>
      <c r="R26" s="250">
        <f>Q26</f>
        <v>0</v>
      </c>
      <c r="S26" s="29"/>
    </row>
    <row r="27" spans="1:20" s="26" customFormat="1" ht="12.75" customHeight="1" x14ac:dyDescent="0.2">
      <c r="A27" s="50"/>
      <c r="B27" s="48" t="s">
        <v>14</v>
      </c>
      <c r="C27" s="67" t="s">
        <v>20</v>
      </c>
      <c r="D27" s="239">
        <f>SUM(D24:D24)</f>
        <v>3.5139676274999996</v>
      </c>
      <c r="E27" s="240">
        <f>SUM(E24:E24)</f>
        <v>9.2704605949999994</v>
      </c>
      <c r="F27" s="240">
        <f>SUM(F24:F24)</f>
        <v>0</v>
      </c>
      <c r="G27" s="240">
        <f>SUM(G24:G26)</f>
        <v>10.545530182173749</v>
      </c>
      <c r="H27" s="242">
        <f t="shared" ref="H27:H45" si="4">SUM(D27:G27)</f>
        <v>23.329958404673746</v>
      </c>
      <c r="I27" s="251">
        <f>SUM(I24:I24)</f>
        <v>0.67317612999999998</v>
      </c>
      <c r="J27" s="240">
        <f>SUM(J24:J24)</f>
        <v>1.7759647124999998</v>
      </c>
      <c r="K27" s="240">
        <f>SUM(K24:K24)</f>
        <v>0</v>
      </c>
      <c r="L27" s="240">
        <f>SUM(L25:L26)</f>
        <v>2.0202302539837498</v>
      </c>
      <c r="M27" s="242">
        <f>SUM(I27:L27)</f>
        <v>4.4693710964837496</v>
      </c>
      <c r="N27" s="240">
        <f>SUM(N24:N24)</f>
        <v>3.3591488887000001</v>
      </c>
      <c r="O27" s="240">
        <f>SUM(O24:O24)</f>
        <v>8.8620639153749998</v>
      </c>
      <c r="P27" s="240">
        <f>SUM(P24:P24)</f>
        <v>0</v>
      </c>
      <c r="Q27" s="240">
        <f>SUM(Q24:Q25)</f>
        <v>10.080948967378912</v>
      </c>
      <c r="R27" s="240">
        <f>SUM(R24:R25)</f>
        <v>22.30216177145391</v>
      </c>
      <c r="S27" s="18"/>
    </row>
    <row r="28" spans="1:20" s="26" customFormat="1" ht="12.75" customHeight="1" x14ac:dyDescent="0.2">
      <c r="A28" s="50"/>
      <c r="B28" s="48" t="s">
        <v>14</v>
      </c>
      <c r="C28" s="69" t="s">
        <v>21</v>
      </c>
      <c r="D28" s="252">
        <f>D22+D27</f>
        <v>113.66969262749998</v>
      </c>
      <c r="E28" s="231">
        <f>E22+E27</f>
        <v>299.88051059499998</v>
      </c>
      <c r="F28" s="231">
        <f>F22+F27</f>
        <v>0</v>
      </c>
      <c r="G28" s="231">
        <f>G22+G27</f>
        <v>10.545530182173749</v>
      </c>
      <c r="H28" s="232">
        <f>SUM(D28:G28)</f>
        <v>424.09573340467369</v>
      </c>
      <c r="I28" s="252">
        <f>I22+I27</f>
        <v>21.775876130000004</v>
      </c>
      <c r="J28" s="231">
        <f>J22+J27</f>
        <v>57.448839712499996</v>
      </c>
      <c r="K28" s="231">
        <f>K22+K27</f>
        <v>0</v>
      </c>
      <c r="L28" s="231">
        <f>L22+L27</f>
        <v>2.0202302539837498</v>
      </c>
      <c r="M28" s="232">
        <f>SUM(I28:L28)</f>
        <v>81.244946096483758</v>
      </c>
      <c r="N28" s="230">
        <f>N22+N27</f>
        <v>108.66162188870001</v>
      </c>
      <c r="O28" s="231">
        <f>O22+O27</f>
        <v>286.66971016537502</v>
      </c>
      <c r="P28" s="231">
        <f>P22+P27</f>
        <v>0</v>
      </c>
      <c r="Q28" s="231">
        <f>Q22+Q27</f>
        <v>10.080948967378912</v>
      </c>
      <c r="R28" s="232">
        <f>SUM(N28:Q28)</f>
        <v>405.41228102145391</v>
      </c>
      <c r="S28" s="27"/>
    </row>
    <row r="29" spans="1:20" s="26" customFormat="1" ht="15.75" customHeight="1" x14ac:dyDescent="0.2">
      <c r="A29" s="370" t="s">
        <v>22</v>
      </c>
      <c r="B29" s="371"/>
      <c r="C29" s="372"/>
      <c r="D29" s="218"/>
      <c r="E29" s="219"/>
      <c r="F29" s="219"/>
      <c r="G29" s="219"/>
      <c r="H29" s="220"/>
      <c r="I29" s="218"/>
      <c r="J29" s="219"/>
      <c r="K29" s="219"/>
      <c r="L29" s="219"/>
      <c r="M29" s="220"/>
      <c r="N29" s="222"/>
      <c r="O29" s="223"/>
      <c r="P29" s="223"/>
      <c r="Q29" s="223"/>
      <c r="R29" s="224"/>
      <c r="S29" s="28"/>
    </row>
    <row r="30" spans="1:20" s="26" customFormat="1" ht="25.5" x14ac:dyDescent="0.2">
      <c r="A30" s="49">
        <v>5</v>
      </c>
      <c r="B30" s="51" t="s">
        <v>148</v>
      </c>
      <c r="C30" s="66" t="s">
        <v>23</v>
      </c>
      <c r="D30" s="251"/>
      <c r="E30" s="240"/>
      <c r="F30" s="240"/>
      <c r="G30" s="240">
        <f>H28*2.14%</f>
        <v>9.0756486948600177</v>
      </c>
      <c r="H30" s="247">
        <f t="shared" si="4"/>
        <v>9.0756486948600177</v>
      </c>
      <c r="I30" s="251"/>
      <c r="J30" s="240"/>
      <c r="K30" s="240"/>
      <c r="L30" s="240">
        <f>M28*2.14%</f>
        <v>1.7386418464647526</v>
      </c>
      <c r="M30" s="247">
        <f t="shared" ref="M30" si="5">SUM(I30:L30)</f>
        <v>1.7386418464647526</v>
      </c>
      <c r="N30" s="239"/>
      <c r="O30" s="240"/>
      <c r="P30" s="240"/>
      <c r="Q30" s="240">
        <f>R28*2.14%</f>
        <v>8.6758228138591154</v>
      </c>
      <c r="R30" s="247">
        <f>SUM(N30:Q30)</f>
        <v>8.6758228138591154</v>
      </c>
      <c r="S30" s="29"/>
    </row>
    <row r="31" spans="1:20" s="26" customFormat="1" ht="25.5" x14ac:dyDescent="0.2">
      <c r="A31" s="49">
        <v>6</v>
      </c>
      <c r="B31" s="51" t="s">
        <v>148</v>
      </c>
      <c r="C31" s="65" t="s">
        <v>151</v>
      </c>
      <c r="D31" s="251"/>
      <c r="E31" s="240"/>
      <c r="F31" s="240"/>
      <c r="G31" s="240">
        <f>(H28)*3.73%</f>
        <v>15.818770855994329</v>
      </c>
      <c r="H31" s="247">
        <f>G31</f>
        <v>15.818770855994329</v>
      </c>
      <c r="I31" s="251"/>
      <c r="J31" s="240"/>
      <c r="K31" s="240"/>
      <c r="L31" s="240">
        <f>(M28)*3.73%</f>
        <v>3.030436489398844</v>
      </c>
      <c r="M31" s="247">
        <f>L31</f>
        <v>3.030436489398844</v>
      </c>
      <c r="N31" s="239"/>
      <c r="O31" s="240"/>
      <c r="P31" s="240"/>
      <c r="Q31" s="240">
        <f>(R28+Q35)*3.73%</f>
        <v>16.198617182100232</v>
      </c>
      <c r="R31" s="247">
        <f>Q31</f>
        <v>16.198617182100232</v>
      </c>
      <c r="S31" s="29"/>
    </row>
    <row r="32" spans="1:20" s="26" customFormat="1" x14ac:dyDescent="0.2">
      <c r="A32" s="47"/>
      <c r="B32" s="48" t="s">
        <v>14</v>
      </c>
      <c r="C32" s="67" t="s">
        <v>24</v>
      </c>
      <c r="D32" s="251">
        <f>D30</f>
        <v>0</v>
      </c>
      <c r="E32" s="240">
        <f>E30</f>
        <v>0</v>
      </c>
      <c r="F32" s="240">
        <f>F30</f>
        <v>0</v>
      </c>
      <c r="G32" s="240">
        <f>G30+G31</f>
        <v>24.894419550854344</v>
      </c>
      <c r="H32" s="247">
        <f t="shared" si="4"/>
        <v>24.894419550854344</v>
      </c>
      <c r="I32" s="251">
        <f>I30</f>
        <v>0</v>
      </c>
      <c r="J32" s="240">
        <f>J30</f>
        <v>0</v>
      </c>
      <c r="K32" s="240">
        <f>K30</f>
        <v>0</v>
      </c>
      <c r="L32" s="240">
        <f>L30+L31</f>
        <v>4.7690783358635969</v>
      </c>
      <c r="M32" s="247">
        <f>SUM(I32:L32)</f>
        <v>4.7690783358635969</v>
      </c>
      <c r="N32" s="251">
        <f>N30</f>
        <v>0</v>
      </c>
      <c r="O32" s="240">
        <f>O30</f>
        <v>0</v>
      </c>
      <c r="P32" s="240">
        <f>P30</f>
        <v>0</v>
      </c>
      <c r="Q32" s="240">
        <f>Q30+Q31</f>
        <v>24.874439995959349</v>
      </c>
      <c r="R32" s="247">
        <f>SUM(N32:Q32)</f>
        <v>24.874439995959349</v>
      </c>
      <c r="S32" s="29"/>
      <c r="T32" s="86"/>
    </row>
    <row r="33" spans="1:44" s="26" customFormat="1" ht="22.5" customHeight="1" x14ac:dyDescent="0.2">
      <c r="A33" s="47"/>
      <c r="B33" s="48" t="s">
        <v>14</v>
      </c>
      <c r="C33" s="70" t="s">
        <v>25</v>
      </c>
      <c r="D33" s="251">
        <f>D28+D32</f>
        <v>113.66969262749998</v>
      </c>
      <c r="E33" s="240">
        <f>E28+E32</f>
        <v>299.88051059499998</v>
      </c>
      <c r="F33" s="240">
        <f>F28+F32</f>
        <v>0</v>
      </c>
      <c r="G33" s="240">
        <f>G28+G32</f>
        <v>35.439949733028094</v>
      </c>
      <c r="H33" s="247">
        <f t="shared" si="4"/>
        <v>448.990152955528</v>
      </c>
      <c r="I33" s="251">
        <f>I28+I32</f>
        <v>21.775876130000004</v>
      </c>
      <c r="J33" s="240">
        <f>J28+J32</f>
        <v>57.448839712499996</v>
      </c>
      <c r="K33" s="240">
        <f>K28+K32</f>
        <v>0</v>
      </c>
      <c r="L33" s="240">
        <f>L28+L32</f>
        <v>6.7893085898473462</v>
      </c>
      <c r="M33" s="247">
        <f>SUM(I33:L33)</f>
        <v>86.014024432347355</v>
      </c>
      <c r="N33" s="251">
        <f>N28+N32</f>
        <v>108.66162188870001</v>
      </c>
      <c r="O33" s="240">
        <f>O28+O32</f>
        <v>286.66971016537502</v>
      </c>
      <c r="P33" s="240">
        <f>P28+P32</f>
        <v>0</v>
      </c>
      <c r="Q33" s="240">
        <f>Q28+Q32</f>
        <v>34.955388963338265</v>
      </c>
      <c r="R33" s="247">
        <f>SUM(N33:Q33)</f>
        <v>430.28672101741324</v>
      </c>
      <c r="S33" s="29"/>
      <c r="T33" s="86"/>
    </row>
    <row r="34" spans="1:44" s="26" customFormat="1" ht="15.75" customHeight="1" x14ac:dyDescent="0.25">
      <c r="A34" s="370" t="s">
        <v>26</v>
      </c>
      <c r="B34" s="371"/>
      <c r="C34" s="372"/>
      <c r="D34" s="218"/>
      <c r="E34" s="219"/>
      <c r="F34" s="219"/>
      <c r="G34" s="219"/>
      <c r="H34" s="220"/>
      <c r="I34" s="218"/>
      <c r="J34" s="219"/>
      <c r="K34" s="219"/>
      <c r="L34" s="219"/>
      <c r="M34" s="220"/>
      <c r="N34" s="253"/>
      <c r="O34" s="223"/>
      <c r="P34" s="223"/>
      <c r="Q34" s="223"/>
      <c r="R34" s="224"/>
      <c r="S34" s="28"/>
      <c r="T34" s="87" t="s">
        <v>67</v>
      </c>
      <c r="U34" s="88" t="s">
        <v>36</v>
      </c>
      <c r="V34" s="104">
        <f>R35</f>
        <v>28.867000000000001</v>
      </c>
      <c r="W34" s="89"/>
      <c r="X34" s="90"/>
    </row>
    <row r="35" spans="1:44" s="26" customFormat="1" ht="15" x14ac:dyDescent="0.25">
      <c r="A35" s="49">
        <v>7</v>
      </c>
      <c r="B35" s="51"/>
      <c r="C35" s="66" t="s">
        <v>64</v>
      </c>
      <c r="D35" s="254"/>
      <c r="E35" s="255"/>
      <c r="F35" s="255"/>
      <c r="G35" s="240">
        <f>Текущие!G57</f>
        <v>28.867000000000001</v>
      </c>
      <c r="H35" s="247">
        <f>SUM(D35:G35)</f>
        <v>28.867000000000001</v>
      </c>
      <c r="I35" s="254"/>
      <c r="J35" s="255"/>
      <c r="K35" s="255"/>
      <c r="L35" s="240">
        <f>Базовые!G57</f>
        <v>7.5370757180156662</v>
      </c>
      <c r="M35" s="247">
        <f>SUM(I35:L35)</f>
        <v>7.5370757180156662</v>
      </c>
      <c r="N35" s="256"/>
      <c r="O35" s="257"/>
      <c r="P35" s="257"/>
      <c r="Q35" s="240">
        <f>G35</f>
        <v>28.867000000000001</v>
      </c>
      <c r="R35" s="247">
        <f t="shared" ref="R35" si="6">SUM(N35:Q35)</f>
        <v>28.867000000000001</v>
      </c>
      <c r="S35" s="29"/>
      <c r="T35" s="91"/>
      <c r="U35" s="92" t="s">
        <v>43</v>
      </c>
      <c r="V35" s="105">
        <v>109.88800000000001</v>
      </c>
      <c r="W35" s="93"/>
      <c r="X35" s="94"/>
    </row>
    <row r="36" spans="1:44" s="26" customFormat="1" ht="15" x14ac:dyDescent="0.25">
      <c r="A36" s="47"/>
      <c r="B36" s="48" t="s">
        <v>14</v>
      </c>
      <c r="C36" s="67" t="s">
        <v>27</v>
      </c>
      <c r="D36" s="251">
        <f>SUM(D35:D35)</f>
        <v>0</v>
      </c>
      <c r="E36" s="240">
        <f>SUM(E35:E35)</f>
        <v>0</v>
      </c>
      <c r="F36" s="240">
        <f>SUM(F35:F35)</f>
        <v>0</v>
      </c>
      <c r="G36" s="240">
        <f>SUM(G35:G35)</f>
        <v>28.867000000000001</v>
      </c>
      <c r="H36" s="247">
        <f t="shared" si="4"/>
        <v>28.867000000000001</v>
      </c>
      <c r="I36" s="251">
        <f>SUM(I35:I35)</f>
        <v>0</v>
      </c>
      <c r="J36" s="240">
        <f>SUM(J35:J35)</f>
        <v>0</v>
      </c>
      <c r="K36" s="240">
        <f>SUM(K35:K35)</f>
        <v>0</v>
      </c>
      <c r="L36" s="240">
        <f>SUM(L35:L35)</f>
        <v>7.5370757180156662</v>
      </c>
      <c r="M36" s="247">
        <f t="shared" ref="M36" si="7">SUM(I36:L36)</f>
        <v>7.5370757180156662</v>
      </c>
      <c r="N36" s="251">
        <f>SUM(N35:N35)</f>
        <v>0</v>
      </c>
      <c r="O36" s="240">
        <f>SUM(O35:O35)</f>
        <v>0</v>
      </c>
      <c r="P36" s="240">
        <f>SUM(P35:P35)</f>
        <v>0</v>
      </c>
      <c r="Q36" s="240">
        <f>SUM(Q35:Q35)</f>
        <v>28.867000000000001</v>
      </c>
      <c r="R36" s="247">
        <f>SUM(N36:Q36)</f>
        <v>28.867000000000001</v>
      </c>
      <c r="S36" s="29"/>
      <c r="T36" s="87" t="s">
        <v>79</v>
      </c>
      <c r="U36" s="88" t="s">
        <v>36</v>
      </c>
      <c r="V36" s="104">
        <f>R43-V34</f>
        <v>488.15748813056877</v>
      </c>
      <c r="W36" s="161"/>
      <c r="X36" s="95"/>
    </row>
    <row r="37" spans="1:44" s="26" customFormat="1" ht="15" x14ac:dyDescent="0.25">
      <c r="A37" s="47"/>
      <c r="B37" s="48" t="s">
        <v>14</v>
      </c>
      <c r="C37" s="70" t="s">
        <v>28</v>
      </c>
      <c r="D37" s="251">
        <f>D33+D36</f>
        <v>113.66969262749998</v>
      </c>
      <c r="E37" s="240">
        <f>E33+E36</f>
        <v>299.88051059499998</v>
      </c>
      <c r="F37" s="240">
        <f>F33+F36</f>
        <v>0</v>
      </c>
      <c r="G37" s="240">
        <f>G33+G36</f>
        <v>64.306949733028091</v>
      </c>
      <c r="H37" s="247">
        <f t="shared" si="4"/>
        <v>477.85715295552802</v>
      </c>
      <c r="I37" s="251">
        <f>I33+I36</f>
        <v>21.775876130000004</v>
      </c>
      <c r="J37" s="240">
        <f>J33+J36</f>
        <v>57.448839712499996</v>
      </c>
      <c r="K37" s="240">
        <f>K33+K36</f>
        <v>0</v>
      </c>
      <c r="L37" s="240">
        <f>L33+L36</f>
        <v>14.326384307863012</v>
      </c>
      <c r="M37" s="247">
        <f>SUM(I37:L37)</f>
        <v>93.551100150363013</v>
      </c>
      <c r="N37" s="251">
        <f>N33+N36</f>
        <v>108.66162188870001</v>
      </c>
      <c r="O37" s="240">
        <f>O33+O36</f>
        <v>286.66971016537502</v>
      </c>
      <c r="P37" s="240">
        <f>P33+P36</f>
        <v>0</v>
      </c>
      <c r="Q37" s="240">
        <f>Q33+Q36</f>
        <v>63.82238896333827</v>
      </c>
      <c r="R37" s="247">
        <f>SUM(N37:Q37)</f>
        <v>459.15372101741326</v>
      </c>
      <c r="S37" s="29"/>
      <c r="T37" s="96"/>
      <c r="U37" s="92" t="s">
        <v>37</v>
      </c>
      <c r="V37" s="105" t="e">
        <f>'НМЦ лота'!#REF!</f>
        <v>#REF!</v>
      </c>
      <c r="W37" s="99"/>
      <c r="X37" s="97"/>
    </row>
    <row r="38" spans="1:44" s="26" customFormat="1" ht="15" x14ac:dyDescent="0.25">
      <c r="A38" s="370"/>
      <c r="B38" s="371"/>
      <c r="C38" s="372"/>
      <c r="D38" s="218"/>
      <c r="E38" s="219"/>
      <c r="F38" s="219"/>
      <c r="G38" s="219"/>
      <c r="H38" s="220"/>
      <c r="I38" s="218"/>
      <c r="J38" s="219"/>
      <c r="K38" s="219"/>
      <c r="L38" s="219"/>
      <c r="M38" s="220"/>
      <c r="N38" s="253"/>
      <c r="O38" s="223"/>
      <c r="P38" s="223"/>
      <c r="Q38" s="223"/>
      <c r="R38" s="224"/>
      <c r="S38" s="28"/>
      <c r="T38" s="98"/>
      <c r="U38" s="92" t="s">
        <v>38</v>
      </c>
      <c r="V38" s="106" t="e">
        <f>V36-V37-V39</f>
        <v>#REF!</v>
      </c>
      <c r="W38" s="99" t="e">
        <f>((R22+R24+#REF!)*0.015+(R25+R30)*1.03)*1.06*1.049*1.143*1.06*1.05*S42</f>
        <v>#REF!</v>
      </c>
      <c r="X38" s="100"/>
    </row>
    <row r="39" spans="1:44" s="26" customFormat="1" ht="15" x14ac:dyDescent="0.25">
      <c r="A39" s="47">
        <v>8</v>
      </c>
      <c r="B39" s="52" t="s">
        <v>97</v>
      </c>
      <c r="C39" s="67" t="s">
        <v>29</v>
      </c>
      <c r="D39" s="251">
        <f t="shared" ref="D39:E39" si="8">D37*0.03</f>
        <v>3.4100907788249994</v>
      </c>
      <c r="E39" s="240">
        <f t="shared" si="8"/>
        <v>8.9964153178499995</v>
      </c>
      <c r="F39" s="240">
        <f>F37*0.03</f>
        <v>0</v>
      </c>
      <c r="G39" s="240">
        <f>(G37-G35)*3%</f>
        <v>1.0631984919908426</v>
      </c>
      <c r="H39" s="247">
        <f t="shared" si="4"/>
        <v>13.469704588665842</v>
      </c>
      <c r="I39" s="239">
        <f>I37*0.03</f>
        <v>0.65327628390000014</v>
      </c>
      <c r="J39" s="240">
        <f t="shared" ref="J39:L39" si="9">J37*0.03</f>
        <v>1.7234651913749999</v>
      </c>
      <c r="K39" s="240">
        <f t="shared" si="9"/>
        <v>0</v>
      </c>
      <c r="L39" s="304">
        <f>(L37-L35)*0.03</f>
        <v>0.20367925769542039</v>
      </c>
      <c r="M39" s="247">
        <f>SUM(I39:L39)</f>
        <v>2.5804207329704201</v>
      </c>
      <c r="N39" s="251">
        <f>N37*0.03</f>
        <v>3.2598486566610001</v>
      </c>
      <c r="O39" s="240">
        <f>O37*0.03</f>
        <v>8.60009130496125</v>
      </c>
      <c r="P39" s="240">
        <f>P37*0.03</f>
        <v>0</v>
      </c>
      <c r="Q39" s="240">
        <f>(Q37-Q36)*0.03</f>
        <v>1.048661668900148</v>
      </c>
      <c r="R39" s="247">
        <f>SUM(N39:Q39)</f>
        <v>12.908601630522398</v>
      </c>
      <c r="S39" s="29"/>
      <c r="T39" s="101"/>
      <c r="U39" s="101" t="s">
        <v>39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30</v>
      </c>
      <c r="D40" s="252">
        <f>D37+D39</f>
        <v>117.07978340632498</v>
      </c>
      <c r="E40" s="231">
        <f>E37+E39</f>
        <v>308.87692591284997</v>
      </c>
      <c r="F40" s="231">
        <f>F37+F39</f>
        <v>0</v>
      </c>
      <c r="G40" s="231">
        <f>G37+G39</f>
        <v>65.370148225018937</v>
      </c>
      <c r="H40" s="258">
        <f>SUM(D40:G40)</f>
        <v>491.3268575441939</v>
      </c>
      <c r="I40" s="252">
        <f>I37+I39</f>
        <v>22.429152413900002</v>
      </c>
      <c r="J40" s="231">
        <f>J37+J39</f>
        <v>59.172304903874995</v>
      </c>
      <c r="K40" s="231">
        <f>K37+K39</f>
        <v>0</v>
      </c>
      <c r="L40" s="231">
        <f>L37+L39</f>
        <v>14.530063565558432</v>
      </c>
      <c r="M40" s="258">
        <f>SUM(I40:L40)</f>
        <v>96.131520883333437</v>
      </c>
      <c r="N40" s="230">
        <f>N37+N39</f>
        <v>111.92147054536102</v>
      </c>
      <c r="O40" s="259">
        <f>O37+O39</f>
        <v>295.26980147033629</v>
      </c>
      <c r="P40" s="259">
        <f>P37+P39</f>
        <v>0</v>
      </c>
      <c r="Q40" s="259">
        <f>Q37+Q39</f>
        <v>64.871050632238422</v>
      </c>
      <c r="R40" s="258">
        <f>SUM(N40:Q40)</f>
        <v>472.06232264793573</v>
      </c>
      <c r="S40" s="84"/>
    </row>
    <row r="41" spans="1:44" s="26" customFormat="1" ht="31.5" customHeight="1" x14ac:dyDescent="0.2">
      <c r="A41" s="80"/>
      <c r="B41" s="81"/>
      <c r="C41" s="82" t="s">
        <v>160</v>
      </c>
      <c r="D41" s="260"/>
      <c r="E41" s="261"/>
      <c r="F41" s="261"/>
      <c r="G41" s="261"/>
      <c r="H41" s="262"/>
      <c r="I41" s="260"/>
      <c r="J41" s="261"/>
      <c r="K41" s="261"/>
      <c r="L41" s="261"/>
      <c r="M41" s="262"/>
      <c r="N41" s="263">
        <f>N40*1.049*1.05</f>
        <v>123.27590373218788</v>
      </c>
      <c r="O41" s="261">
        <f>O40*1.049*1.05</f>
        <v>325.22492282950185</v>
      </c>
      <c r="P41" s="261">
        <f t="shared" ref="P41" si="10">P40*1.06*1.049*1.143*1.06*1.05</f>
        <v>0</v>
      </c>
      <c r="Q41" s="261">
        <f>(Q40-Q36)*1.049*1.05+Q36</f>
        <v>68.523661568879007</v>
      </c>
      <c r="R41" s="264">
        <f>SUM(N41:Q41)</f>
        <v>517.02448813056878</v>
      </c>
      <c r="S41" s="85"/>
      <c r="T41" s="382" t="s">
        <v>68</v>
      </c>
      <c r="U41" s="379" t="s">
        <v>40</v>
      </c>
      <c r="V41" s="380"/>
      <c r="W41" s="380"/>
      <c r="X41" s="381"/>
      <c r="Y41" s="382" t="s">
        <v>69</v>
      </c>
      <c r="Z41" s="379" t="s">
        <v>40</v>
      </c>
      <c r="AA41" s="380"/>
      <c r="AB41" s="380"/>
      <c r="AC41" s="381"/>
      <c r="AD41" s="382" t="s">
        <v>41</v>
      </c>
      <c r="AE41" s="379" t="s">
        <v>40</v>
      </c>
      <c r="AF41" s="380"/>
      <c r="AG41" s="380"/>
      <c r="AH41" s="381"/>
      <c r="AI41" s="382" t="s">
        <v>42</v>
      </c>
      <c r="AJ41" s="379" t="s">
        <v>40</v>
      </c>
      <c r="AK41" s="380"/>
      <c r="AL41" s="380"/>
      <c r="AM41" s="381"/>
      <c r="AN41" s="373" t="s">
        <v>70</v>
      </c>
      <c r="AO41" s="375" t="s">
        <v>71</v>
      </c>
      <c r="AP41" s="376"/>
      <c r="AQ41" s="376"/>
      <c r="AR41" s="377"/>
    </row>
    <row r="42" spans="1:44" s="26" customFormat="1" ht="25.5" customHeight="1" x14ac:dyDescent="0.2">
      <c r="A42" s="80"/>
      <c r="B42" s="81"/>
      <c r="C42" s="82"/>
      <c r="D42" s="260"/>
      <c r="E42" s="261"/>
      <c r="F42" s="261"/>
      <c r="G42" s="261"/>
      <c r="H42" s="262"/>
      <c r="I42" s="260"/>
      <c r="J42" s="261"/>
      <c r="K42" s="261"/>
      <c r="L42" s="261"/>
      <c r="M42" s="262"/>
      <c r="N42" s="263"/>
      <c r="O42" s="265"/>
      <c r="P42" s="265"/>
      <c r="Q42" s="265"/>
      <c r="R42" s="262"/>
      <c r="S42" s="83"/>
      <c r="T42" s="383"/>
      <c r="U42" s="102" t="s">
        <v>43</v>
      </c>
      <c r="V42" s="102" t="s">
        <v>44</v>
      </c>
      <c r="W42" s="102" t="s">
        <v>45</v>
      </c>
      <c r="X42" s="102" t="s">
        <v>46</v>
      </c>
      <c r="Y42" s="383"/>
      <c r="Z42" s="102" t="s">
        <v>43</v>
      </c>
      <c r="AA42" s="102" t="s">
        <v>44</v>
      </c>
      <c r="AB42" s="102" t="s">
        <v>45</v>
      </c>
      <c r="AC42" s="102" t="s">
        <v>46</v>
      </c>
      <c r="AD42" s="383"/>
      <c r="AE42" s="102" t="s">
        <v>43</v>
      </c>
      <c r="AF42" s="102" t="s">
        <v>44</v>
      </c>
      <c r="AG42" s="102" t="s">
        <v>45</v>
      </c>
      <c r="AH42" s="102" t="s">
        <v>46</v>
      </c>
      <c r="AI42" s="383"/>
      <c r="AJ42" s="102" t="s">
        <v>43</v>
      </c>
      <c r="AK42" s="102" t="s">
        <v>44</v>
      </c>
      <c r="AL42" s="102" t="s">
        <v>45</v>
      </c>
      <c r="AM42" s="102" t="s">
        <v>46</v>
      </c>
      <c r="AN42" s="374"/>
      <c r="AO42" s="159" t="s">
        <v>43</v>
      </c>
      <c r="AP42" s="159" t="s">
        <v>45</v>
      </c>
      <c r="AQ42" s="159" t="s">
        <v>44</v>
      </c>
      <c r="AR42" s="159" t="s">
        <v>46</v>
      </c>
    </row>
    <row r="43" spans="1:44" s="26" customFormat="1" ht="19.5" customHeight="1" x14ac:dyDescent="0.2">
      <c r="A43" s="53"/>
      <c r="B43" s="55" t="s">
        <v>14</v>
      </c>
      <c r="C43" s="71" t="s">
        <v>31</v>
      </c>
      <c r="D43" s="252">
        <f>D40</f>
        <v>117.07978340632498</v>
      </c>
      <c r="E43" s="231">
        <f>E40</f>
        <v>308.87692591284997</v>
      </c>
      <c r="F43" s="231">
        <f>F40</f>
        <v>0</v>
      </c>
      <c r="G43" s="231">
        <f>G40</f>
        <v>65.370148225018937</v>
      </c>
      <c r="H43" s="258">
        <f t="shared" si="4"/>
        <v>491.3268575441939</v>
      </c>
      <c r="I43" s="252">
        <f>I40</f>
        <v>22.429152413900002</v>
      </c>
      <c r="J43" s="231">
        <f>J40</f>
        <v>59.172304903874995</v>
      </c>
      <c r="K43" s="231">
        <f>K40</f>
        <v>0</v>
      </c>
      <c r="L43" s="231">
        <f>L40</f>
        <v>14.530063565558432</v>
      </c>
      <c r="M43" s="258">
        <f>SUM(I43:L43)</f>
        <v>96.131520883333437</v>
      </c>
      <c r="N43" s="252">
        <f>N41</f>
        <v>123.27590373218788</v>
      </c>
      <c r="O43" s="231">
        <f>O41</f>
        <v>325.22492282950185</v>
      </c>
      <c r="P43" s="231">
        <f t="shared" ref="P43" si="11">P42</f>
        <v>0</v>
      </c>
      <c r="Q43" s="231">
        <f>Q41</f>
        <v>68.523661568879007</v>
      </c>
      <c r="R43" s="258">
        <f>N43+O43+P43+Q43</f>
        <v>517.02448813056878</v>
      </c>
      <c r="S43" s="83"/>
      <c r="T43" s="107">
        <f>H43</f>
        <v>491.3268575441939</v>
      </c>
      <c r="U43" s="107">
        <f>H36</f>
        <v>28.867000000000001</v>
      </c>
      <c r="V43" s="107">
        <f>F43</f>
        <v>0</v>
      </c>
      <c r="W43" s="107">
        <f>D43+E43</f>
        <v>425.95670931917493</v>
      </c>
      <c r="X43" s="107">
        <f>T43-U43-V43-W43</f>
        <v>36.503148225018947</v>
      </c>
      <c r="Y43" s="107">
        <f>M43</f>
        <v>96.131520883333437</v>
      </c>
      <c r="Z43" s="107">
        <f>M35</f>
        <v>7.5370757180156662</v>
      </c>
      <c r="AA43" s="107">
        <f>K43</f>
        <v>0</v>
      </c>
      <c r="AB43" s="107">
        <f>I43+J43</f>
        <v>81.601457317775001</v>
      </c>
      <c r="AC43" s="107">
        <f>Y43-Z43-AA43-AB43</f>
        <v>6.9929878475427643</v>
      </c>
      <c r="AD43" s="107">
        <f>R41</f>
        <v>517.02448813056878</v>
      </c>
      <c r="AE43" s="108">
        <f>R36</f>
        <v>28.867000000000001</v>
      </c>
      <c r="AF43" s="107">
        <f>P41</f>
        <v>0</v>
      </c>
      <c r="AG43" s="107">
        <f>N41+O41</f>
        <v>448.50082656168973</v>
      </c>
      <c r="AH43" s="107">
        <f>AD43-AE43-AF43-AG43</f>
        <v>39.656661568879031</v>
      </c>
      <c r="AI43" s="107">
        <f>R43</f>
        <v>517.02448813056878</v>
      </c>
      <c r="AJ43" s="107">
        <f>AE43</f>
        <v>28.867000000000001</v>
      </c>
      <c r="AK43" s="107">
        <f>P42</f>
        <v>0</v>
      </c>
      <c r="AL43" s="107">
        <f>N42+O42</f>
        <v>0</v>
      </c>
      <c r="AM43" s="107">
        <f>AI43-AJ43-AK43-AL43</f>
        <v>488.15748813056877</v>
      </c>
      <c r="AN43" s="107">
        <f>V36</f>
        <v>488.15748813056877</v>
      </c>
      <c r="AO43" s="107"/>
      <c r="AP43" s="107" t="e">
        <f>'НМЦ лота'!#REF!+'НМЦ лота'!#REF!</f>
        <v>#REF!</v>
      </c>
      <c r="AQ43" s="107" t="e">
        <f>'НМЦ лота'!#REF!</f>
        <v>#REF!</v>
      </c>
      <c r="AR43" s="107" t="e">
        <f>AN43-AO43-AP43-AQ43</f>
        <v>#REF!</v>
      </c>
    </row>
    <row r="44" spans="1:44" s="26" customFormat="1" x14ac:dyDescent="0.2">
      <c r="A44" s="50"/>
      <c r="B44" s="56" t="s">
        <v>14</v>
      </c>
      <c r="C44" s="67" t="s">
        <v>153</v>
      </c>
      <c r="D44" s="251">
        <f>D43*0.2</f>
        <v>23.415956681264998</v>
      </c>
      <c r="E44" s="240">
        <f>E43*0.2</f>
        <v>61.775385182569998</v>
      </c>
      <c r="F44" s="240">
        <f>F43*0.2</f>
        <v>0</v>
      </c>
      <c r="G44" s="240">
        <f>(G43-G36)*0.2</f>
        <v>7.3006296450037871</v>
      </c>
      <c r="H44" s="247">
        <f t="shared" si="4"/>
        <v>92.491971508838773</v>
      </c>
      <c r="I44" s="251">
        <f>I43*0.2</f>
        <v>4.4858304827800008</v>
      </c>
      <c r="J44" s="240">
        <f>J43*0.2</f>
        <v>11.834460980774999</v>
      </c>
      <c r="K44" s="240">
        <f>K43*0.18</f>
        <v>0</v>
      </c>
      <c r="L44" s="240">
        <f>(L43-L36)*0.2</f>
        <v>1.3985975695085533</v>
      </c>
      <c r="M44" s="247">
        <f>SUM(I44:L44)</f>
        <v>17.718889033063554</v>
      </c>
      <c r="N44" s="251">
        <f>N43*0.2</f>
        <v>24.65518074643758</v>
      </c>
      <c r="O44" s="240">
        <f>O43*0.2</f>
        <v>65.044984565900378</v>
      </c>
      <c r="P44" s="240">
        <f>P43*0.2</f>
        <v>0</v>
      </c>
      <c r="Q44" s="240">
        <f>(Q43-Q36)*0.2</f>
        <v>7.9313323137758012</v>
      </c>
      <c r="R44" s="247">
        <f>SUM(N44:Q44)</f>
        <v>97.631497626113756</v>
      </c>
      <c r="S44" s="83"/>
    </row>
    <row r="45" spans="1:44" s="26" customFormat="1" ht="13.5" thickBot="1" x14ac:dyDescent="0.25">
      <c r="A45" s="47"/>
      <c r="B45" s="56" t="s">
        <v>14</v>
      </c>
      <c r="C45" s="67" t="s">
        <v>32</v>
      </c>
      <c r="D45" s="266">
        <f>D43+D44</f>
        <v>140.49574008758998</v>
      </c>
      <c r="E45" s="267">
        <f>E43+E44</f>
        <v>370.65231109541998</v>
      </c>
      <c r="F45" s="267">
        <f>F43+F44</f>
        <v>0</v>
      </c>
      <c r="G45" s="267">
        <f>G43+G44</f>
        <v>72.670777870022718</v>
      </c>
      <c r="H45" s="268">
        <f t="shared" si="4"/>
        <v>583.81882905303269</v>
      </c>
      <c r="I45" s="266">
        <f>I43+I44</f>
        <v>26.914982896680002</v>
      </c>
      <c r="J45" s="267">
        <f>J43+J44</f>
        <v>71.006765884649994</v>
      </c>
      <c r="K45" s="267">
        <f>K43+K44</f>
        <v>0</v>
      </c>
      <c r="L45" s="267">
        <f>L43+L44</f>
        <v>15.928661135066985</v>
      </c>
      <c r="M45" s="268">
        <f>SUM(I45:L45)</f>
        <v>113.85040991639698</v>
      </c>
      <c r="N45" s="266">
        <f>N43+N44</f>
        <v>147.93108447862545</v>
      </c>
      <c r="O45" s="267">
        <f>O43+O44</f>
        <v>390.26990739540224</v>
      </c>
      <c r="P45" s="267">
        <f>P43+P44</f>
        <v>0</v>
      </c>
      <c r="Q45" s="267">
        <f>Q43+Q44</f>
        <v>76.454993882654804</v>
      </c>
      <c r="R45" s="268">
        <f>SUM(N45:Q45)</f>
        <v>614.65598575668253</v>
      </c>
      <c r="S45" s="83"/>
    </row>
    <row r="46" spans="1:44" x14ac:dyDescent="0.2">
      <c r="A46" s="57" t="s">
        <v>14</v>
      </c>
      <c r="B46" s="350" t="s">
        <v>14</v>
      </c>
      <c r="C46" s="351"/>
      <c r="D46" s="352" t="s">
        <v>14</v>
      </c>
      <c r="E46" s="353"/>
      <c r="F46" s="354" t="s">
        <v>14</v>
      </c>
      <c r="G46" s="355"/>
      <c r="H46" s="355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356" t="s">
        <v>76</v>
      </c>
      <c r="C47" s="356"/>
      <c r="D47" s="356"/>
      <c r="E47" s="356"/>
      <c r="F47" s="356"/>
      <c r="G47" s="356"/>
      <c r="H47" s="356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356" t="s">
        <v>77</v>
      </c>
      <c r="C48" s="356"/>
      <c r="D48" s="356"/>
      <c r="E48" s="356"/>
      <c r="F48" s="356"/>
      <c r="G48" s="356"/>
      <c r="H48" s="356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357" t="s">
        <v>33</v>
      </c>
      <c r="C49" s="357"/>
      <c r="D49" s="357"/>
      <c r="E49" s="357"/>
      <c r="F49" s="357"/>
      <c r="G49" s="59"/>
      <c r="H49" s="358" t="s">
        <v>170</v>
      </c>
      <c r="I49" s="359"/>
      <c r="J49" s="359"/>
      <c r="K49" s="359"/>
      <c r="L49" s="359"/>
      <c r="M49" s="360"/>
      <c r="N49" s="365">
        <f>H43</f>
        <v>491.3268575441939</v>
      </c>
      <c r="O49" s="366"/>
      <c r="P49" s="378" t="s">
        <v>35</v>
      </c>
      <c r="Q49" s="378"/>
      <c r="S49" s="22"/>
    </row>
    <row r="50" spans="1:19" ht="39" customHeight="1" x14ac:dyDescent="0.2">
      <c r="A50" s="36"/>
      <c r="B50" s="361" t="s">
        <v>82</v>
      </c>
      <c r="C50" s="361"/>
      <c r="D50" s="361"/>
      <c r="E50" s="60" t="s">
        <v>83</v>
      </c>
      <c r="H50" s="358" t="s">
        <v>154</v>
      </c>
      <c r="I50" s="359"/>
      <c r="J50" s="359"/>
      <c r="K50" s="359"/>
      <c r="L50" s="359"/>
      <c r="M50" s="360"/>
      <c r="N50" s="365">
        <f>R41</f>
        <v>517.02448813056878</v>
      </c>
      <c r="O50" s="366"/>
      <c r="P50" s="378" t="s">
        <v>35</v>
      </c>
      <c r="Q50" s="378"/>
      <c r="S50" s="22"/>
    </row>
    <row r="51" spans="1:19" x14ac:dyDescent="0.2">
      <c r="A51" s="36"/>
      <c r="B51" s="171" t="s">
        <v>84</v>
      </c>
      <c r="C51" s="171"/>
      <c r="D51" s="36"/>
      <c r="E51" s="36"/>
      <c r="F51" s="36"/>
      <c r="G51" s="36"/>
      <c r="S51" s="22"/>
    </row>
    <row r="52" spans="1:19" ht="19.5" customHeight="1" x14ac:dyDescent="0.25">
      <c r="J52" s="10"/>
      <c r="K52" s="10"/>
      <c r="L52" s="331"/>
      <c r="M52" s="331"/>
      <c r="N52" s="11"/>
      <c r="O52" s="11"/>
      <c r="P52" s="11"/>
      <c r="S52" s="23"/>
    </row>
  </sheetData>
  <mergeCells count="48">
    <mergeCell ref="AN41:AN42"/>
    <mergeCell ref="AO41:AR41"/>
    <mergeCell ref="P49:Q49"/>
    <mergeCell ref="P50:Q50"/>
    <mergeCell ref="AE41:AH41"/>
    <mergeCell ref="AI41:AI42"/>
    <mergeCell ref="AJ41:AM41"/>
    <mergeCell ref="T41:T42"/>
    <mergeCell ref="U41:X41"/>
    <mergeCell ref="Y41:Y42"/>
    <mergeCell ref="Z41:AC41"/>
    <mergeCell ref="AD41:AD42"/>
    <mergeCell ref="I9:M9"/>
    <mergeCell ref="H49:M49"/>
    <mergeCell ref="N49:O49"/>
    <mergeCell ref="N50:O50"/>
    <mergeCell ref="A12:C12"/>
    <mergeCell ref="A15:C15"/>
    <mergeCell ref="A34:C34"/>
    <mergeCell ref="A38:C38"/>
    <mergeCell ref="A29:C29"/>
    <mergeCell ref="A19:C19"/>
    <mergeCell ref="A23:C23"/>
    <mergeCell ref="L52:M52"/>
    <mergeCell ref="B46:C46"/>
    <mergeCell ref="D46:E46"/>
    <mergeCell ref="F46:H46"/>
    <mergeCell ref="B47:H47"/>
    <mergeCell ref="B48:H48"/>
    <mergeCell ref="B49:F49"/>
    <mergeCell ref="H50:M50"/>
    <mergeCell ref="B50:D50"/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5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0" zoomScale="80" zoomScaleNormal="80" workbookViewId="0">
      <selection activeCell="D15" sqref="D15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ht="47.25" customHeight="1" x14ac:dyDescent="0.25">
      <c r="A2" s="110"/>
      <c r="B2" s="111"/>
      <c r="C2" s="110"/>
      <c r="E2" s="293"/>
      <c r="F2" s="390" t="str">
        <f>'Расчет с 30% снижением'!N2</f>
        <v xml:space="preserve">Заместитель директора по инвестиционной деятельности филиала ПАО "МРСК Северо-Запада" "Комиэнерго"
</v>
      </c>
      <c r="G2" s="390"/>
      <c r="H2" s="390"/>
    </row>
    <row r="3" spans="1:8" ht="40.5" customHeight="1" x14ac:dyDescent="0.25">
      <c r="A3" s="112"/>
      <c r="B3" s="113"/>
      <c r="C3" s="114"/>
      <c r="D3" s="293"/>
      <c r="E3" s="293"/>
      <c r="F3" s="118"/>
      <c r="G3" s="118"/>
      <c r="H3" s="119" t="s">
        <v>158</v>
      </c>
    </row>
    <row r="4" spans="1:8" x14ac:dyDescent="0.25">
      <c r="A4" s="112"/>
      <c r="B4" s="115"/>
      <c r="C4" s="116"/>
      <c r="D4" s="293"/>
      <c r="E4" s="293"/>
      <c r="F4" s="293"/>
      <c r="G4" s="293"/>
      <c r="H4" s="293"/>
    </row>
    <row r="5" spans="1:8" ht="45" customHeight="1" x14ac:dyDescent="0.25">
      <c r="A5" s="112"/>
      <c r="B5" s="115"/>
      <c r="C5" s="116"/>
      <c r="D5" s="117"/>
      <c r="E5" s="117"/>
    </row>
    <row r="6" spans="1:8" ht="36" customHeight="1" x14ac:dyDescent="0.25">
      <c r="A6" s="402" t="s">
        <v>175</v>
      </c>
      <c r="B6" s="402"/>
      <c r="C6" s="402"/>
      <c r="D6" s="402"/>
      <c r="E6" s="402"/>
      <c r="F6" s="402"/>
      <c r="G6" s="402"/>
      <c r="H6" s="402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403" t="s">
        <v>159</v>
      </c>
      <c r="B8" s="403"/>
      <c r="C8" s="403"/>
      <c r="D8" s="403"/>
      <c r="E8" s="403"/>
      <c r="F8" s="403"/>
      <c r="G8" s="403"/>
      <c r="H8" s="403"/>
    </row>
    <row r="9" spans="1:8" ht="15.75" thickBot="1" x14ac:dyDescent="0.3">
      <c r="A9" s="404" t="s">
        <v>1</v>
      </c>
      <c r="B9" s="406" t="s">
        <v>49</v>
      </c>
      <c r="C9" s="384" t="s">
        <v>50</v>
      </c>
      <c r="D9" s="386" t="s">
        <v>51</v>
      </c>
      <c r="E9" s="387"/>
      <c r="F9" s="387"/>
      <c r="G9" s="387"/>
      <c r="H9" s="388" t="s">
        <v>9</v>
      </c>
    </row>
    <row r="10" spans="1:8" ht="21.75" thickBot="1" x14ac:dyDescent="0.3">
      <c r="A10" s="405"/>
      <c r="B10" s="407"/>
      <c r="C10" s="385"/>
      <c r="D10" s="120" t="s">
        <v>5</v>
      </c>
      <c r="E10" s="121" t="s">
        <v>6</v>
      </c>
      <c r="F10" s="121" t="s">
        <v>7</v>
      </c>
      <c r="G10" s="122" t="s">
        <v>8</v>
      </c>
      <c r="H10" s="389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98" t="s">
        <v>10</v>
      </c>
      <c r="B12" s="392"/>
      <c r="C12" s="393"/>
      <c r="D12" s="269"/>
      <c r="E12" s="270"/>
      <c r="F12" s="270"/>
      <c r="G12" s="270"/>
      <c r="H12" s="271"/>
    </row>
    <row r="13" spans="1:8" x14ac:dyDescent="0.25">
      <c r="A13" s="130"/>
      <c r="B13" s="131"/>
      <c r="C13" s="132"/>
      <c r="D13" s="272"/>
      <c r="E13" s="225"/>
      <c r="F13" s="225"/>
      <c r="G13" s="225">
        <f>'Расчет с 30% снижением'!L13</f>
        <v>0</v>
      </c>
      <c r="H13" s="273">
        <f>SUM(D13:G13)</f>
        <v>0</v>
      </c>
    </row>
    <row r="14" spans="1:8" x14ac:dyDescent="0.25">
      <c r="A14" s="391" t="s">
        <v>13</v>
      </c>
      <c r="B14" s="392"/>
      <c r="C14" s="393"/>
      <c r="D14" s="274"/>
      <c r="E14" s="275"/>
      <c r="F14" s="275"/>
      <c r="G14" s="275"/>
      <c r="H14" s="276"/>
    </row>
    <row r="15" spans="1:8" x14ac:dyDescent="0.25">
      <c r="A15" s="130">
        <v>1</v>
      </c>
      <c r="B15" s="131" t="s">
        <v>11</v>
      </c>
      <c r="C15" s="66" t="s">
        <v>174</v>
      </c>
      <c r="D15" s="160">
        <f>'Расчет с 30% снижением'!I16</f>
        <v>20.588000000000001</v>
      </c>
      <c r="E15" s="225">
        <f>'Расчет с 30% снижением'!J16</f>
        <v>54.314999999999998</v>
      </c>
      <c r="F15" s="225">
        <f>'Расчет с 30% снижением'!K16</f>
        <v>0</v>
      </c>
      <c r="G15" s="225">
        <v>0</v>
      </c>
      <c r="H15" s="273">
        <f t="shared" ref="H15:H23" si="0">SUM(D15:G15)</f>
        <v>74.902999999999992</v>
      </c>
    </row>
    <row r="16" spans="1:8" ht="15" hidden="1" customHeight="1" x14ac:dyDescent="0.25">
      <c r="A16" s="399" t="s">
        <v>52</v>
      </c>
      <c r="B16" s="400"/>
      <c r="C16" s="401"/>
      <c r="D16" s="277"/>
      <c r="E16" s="278"/>
      <c r="F16" s="278"/>
      <c r="G16" s="278"/>
      <c r="H16" s="273">
        <f t="shared" si="0"/>
        <v>0</v>
      </c>
    </row>
    <row r="17" spans="1:8" hidden="1" x14ac:dyDescent="0.25">
      <c r="A17" s="133"/>
      <c r="B17" s="134"/>
      <c r="C17" s="135"/>
      <c r="D17" s="277"/>
      <c r="E17" s="278"/>
      <c r="F17" s="278"/>
      <c r="G17" s="278"/>
      <c r="H17" s="273">
        <f t="shared" si="0"/>
        <v>0</v>
      </c>
    </row>
    <row r="18" spans="1:8" hidden="1" x14ac:dyDescent="0.25">
      <c r="A18" s="398" t="s">
        <v>53</v>
      </c>
      <c r="B18" s="392"/>
      <c r="C18" s="393"/>
      <c r="D18" s="277"/>
      <c r="E18" s="278"/>
      <c r="F18" s="278"/>
      <c r="G18" s="278"/>
      <c r="H18" s="273">
        <f t="shared" si="0"/>
        <v>0</v>
      </c>
    </row>
    <row r="19" spans="1:8" hidden="1" x14ac:dyDescent="0.25">
      <c r="A19" s="136"/>
      <c r="B19" s="137"/>
      <c r="C19" s="138"/>
      <c r="D19" s="277"/>
      <c r="E19" s="278"/>
      <c r="F19" s="278"/>
      <c r="G19" s="278"/>
      <c r="H19" s="273">
        <f t="shared" si="0"/>
        <v>0</v>
      </c>
    </row>
    <row r="20" spans="1:8" hidden="1" x14ac:dyDescent="0.25">
      <c r="A20" s="398" t="s">
        <v>54</v>
      </c>
      <c r="B20" s="392"/>
      <c r="C20" s="393"/>
      <c r="D20" s="277"/>
      <c r="E20" s="278"/>
      <c r="F20" s="278"/>
      <c r="G20" s="278"/>
      <c r="H20" s="273">
        <f t="shared" si="0"/>
        <v>0</v>
      </c>
    </row>
    <row r="21" spans="1:8" hidden="1" x14ac:dyDescent="0.25">
      <c r="A21" s="136"/>
      <c r="B21" s="137"/>
      <c r="C21" s="138"/>
      <c r="D21" s="277"/>
      <c r="E21" s="278"/>
      <c r="F21" s="278"/>
      <c r="G21" s="278"/>
      <c r="H21" s="273">
        <f t="shared" si="0"/>
        <v>0</v>
      </c>
    </row>
    <row r="22" spans="1:8" x14ac:dyDescent="0.25">
      <c r="A22" s="391" t="s">
        <v>16</v>
      </c>
      <c r="B22" s="392"/>
      <c r="C22" s="393"/>
      <c r="D22" s="274"/>
      <c r="E22" s="275"/>
      <c r="F22" s="275"/>
      <c r="G22" s="275"/>
      <c r="H22" s="273"/>
    </row>
    <row r="23" spans="1:8" ht="30" x14ac:dyDescent="0.25">
      <c r="A23" s="130">
        <v>2</v>
      </c>
      <c r="B23" s="131" t="s">
        <v>55</v>
      </c>
      <c r="C23" s="139" t="s">
        <v>80</v>
      </c>
      <c r="D23" s="160">
        <f>D15*2.5%</f>
        <v>0.51470000000000005</v>
      </c>
      <c r="E23" s="225">
        <f>E15*2.5%</f>
        <v>1.3578749999999999</v>
      </c>
      <c r="F23" s="225"/>
      <c r="G23" s="225"/>
      <c r="H23" s="273">
        <f t="shared" si="0"/>
        <v>1.8725749999999999</v>
      </c>
    </row>
    <row r="24" spans="1:8" ht="16.5" customHeight="1" x14ac:dyDescent="0.25">
      <c r="A24" s="130"/>
      <c r="B24" s="131"/>
      <c r="C24" s="139"/>
      <c r="D24" s="160"/>
      <c r="E24" s="279"/>
      <c r="F24" s="225"/>
      <c r="G24" s="225"/>
      <c r="H24" s="280"/>
    </row>
    <row r="25" spans="1:8" x14ac:dyDescent="0.25">
      <c r="A25" s="391" t="s">
        <v>19</v>
      </c>
      <c r="B25" s="392"/>
      <c r="C25" s="393"/>
      <c r="D25" s="274"/>
      <c r="E25" s="275"/>
      <c r="F25" s="275"/>
      <c r="G25" s="275"/>
      <c r="H25" s="281"/>
    </row>
    <row r="26" spans="1:8" ht="30" x14ac:dyDescent="0.25">
      <c r="A26" s="136">
        <v>3</v>
      </c>
      <c r="B26" s="131" t="s">
        <v>161</v>
      </c>
      <c r="C26" s="132" t="s">
        <v>65</v>
      </c>
      <c r="D26" s="277">
        <f>(D15+D23)*3.19%</f>
        <v>0.67317612999999998</v>
      </c>
      <c r="E26" s="278">
        <f>(E15+E23)*3.19%</f>
        <v>1.7759647124999998</v>
      </c>
      <c r="F26" s="278"/>
      <c r="G26" s="278"/>
      <c r="H26" s="280">
        <f>SUM(D26:G26)</f>
        <v>2.4491408424999999</v>
      </c>
    </row>
    <row r="27" spans="1:8" ht="21.75" customHeight="1" x14ac:dyDescent="0.25">
      <c r="A27" s="140"/>
      <c r="B27" s="137" t="s">
        <v>14</v>
      </c>
      <c r="C27" s="141" t="s">
        <v>56</v>
      </c>
      <c r="D27" s="282">
        <f>SUM(D15:D26)</f>
        <v>21.775876130000004</v>
      </c>
      <c r="E27" s="283">
        <f>SUM(E15:E26)</f>
        <v>57.448839712499996</v>
      </c>
      <c r="F27" s="283">
        <f>SUM(F13:F26)</f>
        <v>0</v>
      </c>
      <c r="G27" s="283">
        <f>SUM(G13:G26)</f>
        <v>0</v>
      </c>
      <c r="H27" s="284">
        <f t="shared" ref="H27" si="1">SUM(D27:G27)</f>
        <v>79.224715842500004</v>
      </c>
    </row>
    <row r="28" spans="1:8" x14ac:dyDescent="0.25">
      <c r="A28" s="136">
        <v>4</v>
      </c>
      <c r="B28" s="142" t="s">
        <v>97</v>
      </c>
      <c r="C28" s="132" t="s">
        <v>57</v>
      </c>
      <c r="D28" s="277">
        <f>D27*1.5%</f>
        <v>0.32663814195000007</v>
      </c>
      <c r="E28" s="278">
        <f>E27*1.5%</f>
        <v>0.86173259568749994</v>
      </c>
      <c r="F28" s="278">
        <f t="shared" ref="F28:G28" si="2">F27*1.5%</f>
        <v>0</v>
      </c>
      <c r="G28" s="278">
        <f t="shared" si="2"/>
        <v>0</v>
      </c>
      <c r="H28" s="280">
        <f>D28+E28+F28+G28</f>
        <v>1.1883707376374999</v>
      </c>
    </row>
    <row r="29" spans="1:8" x14ac:dyDescent="0.25">
      <c r="A29" s="136"/>
      <c r="B29" s="137" t="s">
        <v>14</v>
      </c>
      <c r="C29" s="132" t="s">
        <v>58</v>
      </c>
      <c r="D29" s="230">
        <f>D27+D28</f>
        <v>22.102514271950003</v>
      </c>
      <c r="E29" s="231">
        <f>E27+E28</f>
        <v>58.310572308187496</v>
      </c>
      <c r="F29" s="231">
        <f>F27+F28</f>
        <v>0</v>
      </c>
      <c r="G29" s="231">
        <f>G27+G28</f>
        <v>0</v>
      </c>
      <c r="H29" s="284">
        <f>SUM(D29:G29)</f>
        <v>80.413086580137502</v>
      </c>
    </row>
    <row r="30" spans="1:8" x14ac:dyDescent="0.25">
      <c r="A30" s="143"/>
      <c r="B30" s="144"/>
      <c r="C30" s="145" t="s">
        <v>171</v>
      </c>
      <c r="D30" s="285"/>
      <c r="E30" s="286"/>
      <c r="F30" s="286"/>
      <c r="G30" s="286"/>
      <c r="H30" s="273"/>
    </row>
    <row r="31" spans="1:8" x14ac:dyDescent="0.25">
      <c r="A31" s="143"/>
      <c r="B31" s="144"/>
      <c r="C31" s="139" t="s">
        <v>172</v>
      </c>
      <c r="D31" s="239">
        <v>5.31</v>
      </c>
      <c r="E31" s="240">
        <v>5.31</v>
      </c>
      <c r="F31" s="240">
        <v>4.6100000000000003</v>
      </c>
      <c r="G31" s="240"/>
      <c r="H31" s="273"/>
    </row>
    <row r="32" spans="1:8" x14ac:dyDescent="0.25">
      <c r="A32" s="143"/>
      <c r="B32" s="146"/>
      <c r="C32" s="145" t="s">
        <v>152</v>
      </c>
      <c r="D32" s="282">
        <f>D29*D31</f>
        <v>117.36435078405451</v>
      </c>
      <c r="E32" s="283">
        <f>E29*E31</f>
        <v>309.62913895647557</v>
      </c>
      <c r="F32" s="283">
        <f>F29*F31</f>
        <v>0</v>
      </c>
      <c r="G32" s="283">
        <v>0</v>
      </c>
      <c r="H32" s="170">
        <f>SUM(D32:G32)</f>
        <v>426.99348974053009</v>
      </c>
    </row>
    <row r="33" spans="1:8" x14ac:dyDescent="0.25">
      <c r="A33" s="143"/>
      <c r="B33" s="146"/>
      <c r="C33" s="145" t="s">
        <v>153</v>
      </c>
      <c r="D33" s="287">
        <f>D32*0.2</f>
        <v>23.472870156810902</v>
      </c>
      <c r="E33" s="278">
        <f>E32*0.2</f>
        <v>61.92582779129512</v>
      </c>
      <c r="F33" s="278">
        <f t="shared" ref="F33:G33" si="3">F32*0.2</f>
        <v>0</v>
      </c>
      <c r="G33" s="278">
        <f t="shared" si="3"/>
        <v>0</v>
      </c>
      <c r="H33" s="273">
        <f>SUM(D33:G33)</f>
        <v>85.398697948106019</v>
      </c>
    </row>
    <row r="34" spans="1:8" ht="39.75" customHeight="1" thickBot="1" x14ac:dyDescent="0.3">
      <c r="A34" s="143"/>
      <c r="B34" s="146"/>
      <c r="C34" s="147" t="s">
        <v>59</v>
      </c>
      <c r="D34" s="288">
        <f>D32+D33</f>
        <v>140.83722094086542</v>
      </c>
      <c r="E34" s="289">
        <f>E32+E33</f>
        <v>371.55496674777066</v>
      </c>
      <c r="F34" s="289">
        <f t="shared" ref="F34:G34" si="4">F32+F33</f>
        <v>0</v>
      </c>
      <c r="G34" s="289">
        <f t="shared" si="4"/>
        <v>0</v>
      </c>
      <c r="H34" s="289">
        <f>SUM(D34:G34)</f>
        <v>512.39218768863611</v>
      </c>
    </row>
    <row r="35" spans="1:8" x14ac:dyDescent="0.25">
      <c r="A35" s="148" t="s">
        <v>14</v>
      </c>
      <c r="B35" s="149" t="s">
        <v>14</v>
      </c>
      <c r="C35" s="150"/>
      <c r="D35" s="394" t="s">
        <v>14</v>
      </c>
      <c r="E35" s="395"/>
      <c r="F35" s="396" t="s">
        <v>14</v>
      </c>
      <c r="G35" s="397"/>
      <c r="H35" s="397"/>
    </row>
    <row r="36" spans="1:8" x14ac:dyDescent="0.25">
      <c r="A36" s="148"/>
      <c r="B36" s="151"/>
      <c r="C36" s="152"/>
      <c r="D36" s="152"/>
      <c r="E36" s="152"/>
      <c r="F36" s="152"/>
      <c r="G36" s="152"/>
      <c r="H36" s="152"/>
    </row>
    <row r="37" spans="1:8" x14ac:dyDescent="0.25">
      <c r="A37" s="148"/>
      <c r="B37" s="153" t="s">
        <v>60</v>
      </c>
      <c r="C37" s="154" t="s">
        <v>81</v>
      </c>
      <c r="E37" s="155" t="s">
        <v>62</v>
      </c>
      <c r="F37" s="61"/>
      <c r="G37" s="61"/>
      <c r="H37" s="61"/>
    </row>
    <row r="38" spans="1:8" x14ac:dyDescent="0.25">
      <c r="A38" s="148"/>
      <c r="B38" s="151"/>
      <c r="C38" s="152"/>
      <c r="D38" s="152"/>
      <c r="E38" s="152"/>
      <c r="F38" s="152"/>
      <c r="G38" s="152"/>
      <c r="H38" s="152"/>
    </row>
    <row r="39" spans="1:8" ht="15.75" x14ac:dyDescent="0.25">
      <c r="A39" s="1"/>
      <c r="B39" s="155" t="s">
        <v>61</v>
      </c>
      <c r="C39" s="156" t="s">
        <v>63</v>
      </c>
      <c r="E39" s="156" t="s">
        <v>78</v>
      </c>
      <c r="F39" s="24"/>
      <c r="G39" s="24"/>
      <c r="H39" s="109"/>
    </row>
    <row r="40" spans="1:8" ht="14.25" customHeight="1" x14ac:dyDescent="0.25">
      <c r="A40" s="1"/>
      <c r="B40" s="157"/>
      <c r="C40" s="1"/>
      <c r="D40" s="1"/>
      <c r="E40" s="1"/>
      <c r="F40" s="1"/>
      <c r="G40" s="109"/>
      <c r="H40" s="109"/>
    </row>
    <row r="41" spans="1:8" x14ac:dyDescent="0.25">
      <c r="A41" s="1"/>
      <c r="C41" s="24"/>
      <c r="D41" s="24"/>
      <c r="E41" s="24"/>
      <c r="F41" s="24"/>
      <c r="G41" s="9"/>
      <c r="H41" s="9"/>
    </row>
    <row r="42" spans="1:8" ht="15.75" x14ac:dyDescent="0.25">
      <c r="A42" s="1"/>
      <c r="B42" s="155"/>
      <c r="C42" s="156"/>
      <c r="E42" s="155"/>
      <c r="F42" s="158"/>
      <c r="G42" s="1"/>
      <c r="H42" s="158"/>
    </row>
  </sheetData>
  <mergeCells count="17">
    <mergeCell ref="D35:E35"/>
    <mergeCell ref="F35:H35"/>
    <mergeCell ref="A12:C12"/>
    <mergeCell ref="A14:C14"/>
    <mergeCell ref="A16:C16"/>
    <mergeCell ref="A18:C18"/>
    <mergeCell ref="A20:C20"/>
    <mergeCell ref="A22:C22"/>
    <mergeCell ref="C9:C10"/>
    <mergeCell ref="D9:G9"/>
    <mergeCell ref="H9:H10"/>
    <mergeCell ref="F2:H2"/>
    <mergeCell ref="A25:C25"/>
    <mergeCell ref="A6:H6"/>
    <mergeCell ref="A8:H8"/>
    <mergeCell ref="A9:A10"/>
    <mergeCell ref="B9:B1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Базовые</vt:lpstr>
      <vt:lpstr>Текущие</vt:lpstr>
      <vt:lpstr>Расчет с 30% снижением</vt:lpstr>
      <vt:lpstr>НМЦ лота</vt:lpstr>
      <vt:lpstr>Базовые!Область_печати</vt:lpstr>
      <vt:lpstr>'Расчет с 30% снижением'!Область_печати</vt:lpstr>
      <vt:lpstr>Текущие!Область_печати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Тарабукин Михаил Анатольевич</cp:lastModifiedBy>
  <cp:lastPrinted>2018-04-06T13:19:48Z</cp:lastPrinted>
  <dcterms:created xsi:type="dcterms:W3CDTF">2013-08-20T09:15:16Z</dcterms:created>
  <dcterms:modified xsi:type="dcterms:W3CDTF">2019-04-15T07:26:23Z</dcterms:modified>
</cp:coreProperties>
</file>